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livejohnshopkins-my.sharepoint.com/personal/drasnic1_jh_edu/Documents/Desktop/"/>
    </mc:Choice>
  </mc:AlternateContent>
  <xr:revisionPtr revIDLastSave="0" documentId="8_{2B9EC85E-C07B-4A2D-8221-321FA0174AA5}" xr6:coauthVersionLast="36" xr6:coauthVersionMax="36" xr10:uidLastSave="{00000000-0000-0000-0000-000000000000}"/>
  <bookViews>
    <workbookView xWindow="-120" yWindow="-120" windowWidth="29040" windowHeight="15720" tabRatio="865" xr2:uid="{00000000-000D-0000-FFFF-FFFF00000000}"/>
  </bookViews>
  <sheets>
    <sheet name="Welcome" sheetId="27" r:id="rId1"/>
    <sheet name="Summary" sheetId="1" r:id="rId2"/>
    <sheet name="Purch Analysis" sheetId="2" r:id="rId3"/>
    <sheet name="Loan &amp; Amort" sheetId="22" r:id="rId4"/>
    <sheet name="Pax Income Proj" sheetId="11" r:id="rId5"/>
    <sheet name="Cash Flow" sheetId="3" r:id="rId6"/>
    <sheet name="Fleet Inventory" sheetId="12" r:id="rId7"/>
    <sheet name="Sensitivity Analysis" sheetId="25" r:id="rId8"/>
    <sheet name="Pvt Tbl" sheetId="28" r:id="rId9"/>
    <sheet name="Pvt Chrt" sheetId="29" r:id="rId10"/>
    <sheet name="Project List" sheetId="24" r:id="rId11"/>
    <sheet name="Tables" sheetId="19" r:id="rId12"/>
    <sheet name="Solver mfg" sheetId="23" r:id="rId13"/>
    <sheet name="Solver rehab" sheetId="26" r:id="rId14"/>
  </sheets>
  <definedNames>
    <definedName name="_xlnm._FilterDatabase" localSheetId="6" hidden="1">'Fleet Inventory'!$A$19:$D$27</definedName>
    <definedName name="_xlnm._FilterDatabase" localSheetId="10" hidden="1">'Project List'!$A$8:$O$63</definedName>
    <definedName name="CoName">Summary!$A$1</definedName>
    <definedName name="LoanPmt">'Loan &amp; Amort'!$G$8</definedName>
    <definedName name="solver_adj" localSheetId="12" hidden="1">'Solver mfg'!$D$4:$D$6</definedName>
    <definedName name="solver_cvg" localSheetId="12" hidden="1">0.0001</definedName>
    <definedName name="solver_cvg" localSheetId="13" hidden="1">0.0001</definedName>
    <definedName name="solver_drv" localSheetId="12" hidden="1">1</definedName>
    <definedName name="solver_drv" localSheetId="13" hidden="1">1</definedName>
    <definedName name="solver_eng" localSheetId="10" hidden="1">1</definedName>
    <definedName name="solver_eng" localSheetId="12" hidden="1">2</definedName>
    <definedName name="solver_eng" localSheetId="13" hidden="1">1</definedName>
    <definedName name="solver_est" localSheetId="12" hidden="1">1</definedName>
    <definedName name="solver_est" localSheetId="13" hidden="1">1</definedName>
    <definedName name="solver_itr" localSheetId="12" hidden="1">100</definedName>
    <definedName name="solver_itr" localSheetId="13" hidden="1">100</definedName>
    <definedName name="solver_lhs1" localSheetId="12" hidden="1">'Solver mfg'!$E$8</definedName>
    <definedName name="solver_lhs1" localSheetId="13" hidden="1">'Solver rehab'!$E$8</definedName>
    <definedName name="solver_lhs2" localSheetId="12" hidden="1">'Solver mfg'!$I$4:$I$6</definedName>
    <definedName name="solver_lhs2" localSheetId="13" hidden="1">'Solver rehab'!$I$4:$I$6</definedName>
    <definedName name="solver_lhs3" localSheetId="12" hidden="1">'Solver mfg'!$I$8</definedName>
    <definedName name="solver_lhs3" localSheetId="13" hidden="1">'Solver rehab'!$I$8</definedName>
    <definedName name="solver_lin" localSheetId="12" hidden="1">2</definedName>
    <definedName name="solver_lin" localSheetId="13" hidden="1">2</definedName>
    <definedName name="solver_mip" localSheetId="12" hidden="1">2147483647</definedName>
    <definedName name="solver_mip" localSheetId="13" hidden="1">2147483647</definedName>
    <definedName name="solver_mni" localSheetId="12" hidden="1">30</definedName>
    <definedName name="solver_mni" localSheetId="13" hidden="1">30</definedName>
    <definedName name="solver_mrt" localSheetId="12" hidden="1">0.075</definedName>
    <definedName name="solver_mrt" localSheetId="13" hidden="1">0.075</definedName>
    <definedName name="solver_msl" localSheetId="12" hidden="1">2</definedName>
    <definedName name="solver_msl" localSheetId="13" hidden="1">2</definedName>
    <definedName name="solver_neg" localSheetId="10" hidden="1">1</definedName>
    <definedName name="solver_neg" localSheetId="12" hidden="1">1</definedName>
    <definedName name="solver_neg" localSheetId="13" hidden="1">2</definedName>
    <definedName name="solver_nod" localSheetId="12" hidden="1">2147483647</definedName>
    <definedName name="solver_nod" localSheetId="13" hidden="1">2147483647</definedName>
    <definedName name="solver_num" localSheetId="10" hidden="1">0</definedName>
    <definedName name="solver_num" localSheetId="12" hidden="1">3</definedName>
    <definedName name="solver_num" localSheetId="13" hidden="1">0</definedName>
    <definedName name="solver_nwt" localSheetId="12" hidden="1">1</definedName>
    <definedName name="solver_nwt" localSheetId="13" hidden="1">1</definedName>
    <definedName name="solver_opt" localSheetId="10" hidden="1">'Project List'!$D$8</definedName>
    <definedName name="solver_opt" localSheetId="12" hidden="1">'Solver mfg'!$F$8</definedName>
    <definedName name="solver_pre" localSheetId="12" hidden="1">0.000001</definedName>
    <definedName name="solver_pre" localSheetId="13" hidden="1">0.000001</definedName>
    <definedName name="solver_rbv" localSheetId="12" hidden="1">1</definedName>
    <definedName name="solver_rbv" localSheetId="13" hidden="1">1</definedName>
    <definedName name="solver_rel1" localSheetId="12" hidden="1">1</definedName>
    <definedName name="solver_rel1" localSheetId="13" hidden="1">1</definedName>
    <definedName name="solver_rel2" localSheetId="12" hidden="1">1</definedName>
    <definedName name="solver_rel2" localSheetId="13" hidden="1">1</definedName>
    <definedName name="solver_rel3" localSheetId="12" hidden="1">1</definedName>
    <definedName name="solver_rel3" localSheetId="13" hidden="1">2</definedName>
    <definedName name="solver_rhs1" localSheetId="12" hidden="1">'Solver mfg'!$B$10</definedName>
    <definedName name="solver_rhs1" localSheetId="13" hidden="1">'Solver rehab'!$B$10</definedName>
    <definedName name="solver_rhs2" localSheetId="12" hidden="1">'Solver mfg'!$J$4:$J$6</definedName>
    <definedName name="solver_rhs2" localSheetId="13" hidden="1">'Solver rehab'!$J$4:$J$6</definedName>
    <definedName name="solver_rhs3" localSheetId="12" hidden="1">'Solver mfg'!$B$11</definedName>
    <definedName name="solver_rhs3" localSheetId="13" hidden="1">'Solver rehab'!$B$11</definedName>
    <definedName name="solver_rlx" localSheetId="12" hidden="1">1</definedName>
    <definedName name="solver_rlx" localSheetId="13" hidden="1">1</definedName>
    <definedName name="solver_rsd" localSheetId="12" hidden="1">0</definedName>
    <definedName name="solver_rsd" localSheetId="13" hidden="1">0</definedName>
    <definedName name="solver_scl" localSheetId="12" hidden="1">2</definedName>
    <definedName name="solver_scl" localSheetId="13" hidden="1">2</definedName>
    <definedName name="solver_sho" localSheetId="12" hidden="1">2</definedName>
    <definedName name="solver_sho" localSheetId="13" hidden="1">2</definedName>
    <definedName name="solver_ssz" localSheetId="12" hidden="1">100</definedName>
    <definedName name="solver_ssz" localSheetId="13" hidden="1">100</definedName>
    <definedName name="solver_tim" localSheetId="12" hidden="1">100</definedName>
    <definedName name="solver_tim" localSheetId="13" hidden="1">100</definedName>
    <definedName name="solver_tol" localSheetId="12" hidden="1">0.05</definedName>
    <definedName name="solver_tol" localSheetId="13" hidden="1">0.05</definedName>
    <definedName name="solver_typ" localSheetId="10" hidden="1">1</definedName>
    <definedName name="solver_typ" localSheetId="12" hidden="1">1</definedName>
    <definedName name="solver_typ" localSheetId="13" hidden="1">1</definedName>
    <definedName name="solver_val" localSheetId="10" hidden="1">0</definedName>
    <definedName name="solver_val" localSheetId="12" hidden="1">0</definedName>
    <definedName name="solver_val" localSheetId="13" hidden="1">0</definedName>
    <definedName name="solver_ver" localSheetId="10" hidden="1">3</definedName>
    <definedName name="solver_ver" localSheetId="12" hidden="1">3</definedName>
    <definedName name="solver_ver" localSheetId="13" hidden="1">3</definedName>
  </definedNames>
  <calcPr calcId="191029"/>
  <pivotCaches>
    <pivotCache cacheId="0" r:id="rId15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2" i="12" l="1"/>
  <c r="F11" i="1"/>
  <c r="I5" i="23"/>
  <c r="I6" i="23"/>
  <c r="I4" i="23"/>
  <c r="F4" i="23"/>
  <c r="F5" i="23"/>
  <c r="F6" i="23"/>
  <c r="E5" i="23"/>
  <c r="E6" i="23"/>
  <c r="E4" i="23"/>
  <c r="K4" i="24"/>
  <c r="K3" i="24"/>
  <c r="J4" i="24"/>
  <c r="J3" i="24"/>
  <c r="I4" i="24"/>
  <c r="I5" i="24"/>
  <c r="I3" i="24"/>
  <c r="O10" i="24"/>
  <c r="O11" i="24"/>
  <c r="O12" i="24"/>
  <c r="O14" i="24"/>
  <c r="O15" i="24"/>
  <c r="O16" i="24"/>
  <c r="O17" i="24"/>
  <c r="O18" i="24"/>
  <c r="O19" i="24"/>
  <c r="O20" i="24"/>
  <c r="O21" i="24"/>
  <c r="O22" i="24"/>
  <c r="O23" i="24"/>
  <c r="O24" i="24"/>
  <c r="O25" i="24"/>
  <c r="O26" i="24"/>
  <c r="O27" i="24"/>
  <c r="O28" i="24"/>
  <c r="O29" i="24"/>
  <c r="O30" i="24"/>
  <c r="O31" i="24"/>
  <c r="O32" i="24"/>
  <c r="O33" i="24"/>
  <c r="O34" i="24"/>
  <c r="O35" i="24"/>
  <c r="O36" i="24"/>
  <c r="O37" i="24"/>
  <c r="O38" i="24"/>
  <c r="O39" i="24"/>
  <c r="O40" i="24"/>
  <c r="O41" i="24"/>
  <c r="O42" i="24"/>
  <c r="O43" i="24"/>
  <c r="O44" i="24"/>
  <c r="O45" i="24"/>
  <c r="O46" i="24"/>
  <c r="O47" i="24"/>
  <c r="O48" i="24"/>
  <c r="O49" i="24"/>
  <c r="O50" i="24"/>
  <c r="O51" i="24"/>
  <c r="O52" i="24"/>
  <c r="O53" i="24"/>
  <c r="O54" i="24"/>
  <c r="O55" i="24"/>
  <c r="O56" i="24"/>
  <c r="O57" i="24"/>
  <c r="O58" i="24"/>
  <c r="O59" i="24"/>
  <c r="O60" i="24"/>
  <c r="O61" i="24"/>
  <c r="O62" i="24"/>
  <c r="O63" i="24"/>
  <c r="N10" i="24"/>
  <c r="N11" i="24"/>
  <c r="N12" i="24"/>
  <c r="N14" i="24"/>
  <c r="N15" i="24"/>
  <c r="N16" i="24"/>
  <c r="N17" i="24"/>
  <c r="N18" i="24"/>
  <c r="N19" i="24"/>
  <c r="N20" i="24"/>
  <c r="N21" i="24"/>
  <c r="N22" i="24"/>
  <c r="N23" i="24"/>
  <c r="N24" i="24"/>
  <c r="N25" i="24"/>
  <c r="N26" i="24"/>
  <c r="N27" i="24"/>
  <c r="N28" i="24"/>
  <c r="N29" i="24"/>
  <c r="N30" i="24"/>
  <c r="N31" i="24"/>
  <c r="N32" i="24"/>
  <c r="N33" i="24"/>
  <c r="N34" i="24"/>
  <c r="N35" i="24"/>
  <c r="N36" i="24"/>
  <c r="N37" i="24"/>
  <c r="N38" i="24"/>
  <c r="N39" i="24"/>
  <c r="N40" i="24"/>
  <c r="N41" i="24"/>
  <c r="N42" i="24"/>
  <c r="N43" i="24"/>
  <c r="N44" i="24"/>
  <c r="N45" i="24"/>
  <c r="N46" i="24"/>
  <c r="N47" i="24"/>
  <c r="N48" i="24"/>
  <c r="N49" i="24"/>
  <c r="N50" i="24"/>
  <c r="N51" i="24"/>
  <c r="N52" i="24"/>
  <c r="N53" i="24"/>
  <c r="N54" i="24"/>
  <c r="N55" i="24"/>
  <c r="N56" i="24"/>
  <c r="N57" i="24"/>
  <c r="N58" i="24"/>
  <c r="N59" i="24"/>
  <c r="N60" i="24"/>
  <c r="N61" i="24"/>
  <c r="N62" i="24"/>
  <c r="N63" i="24"/>
  <c r="J10" i="24"/>
  <c r="J11" i="24"/>
  <c r="J12" i="24"/>
  <c r="J13" i="24"/>
  <c r="J14" i="24"/>
  <c r="J15" i="24"/>
  <c r="J16" i="24"/>
  <c r="J17" i="24"/>
  <c r="J18" i="24"/>
  <c r="J19" i="24"/>
  <c r="J20" i="24"/>
  <c r="J21" i="24"/>
  <c r="J22" i="24"/>
  <c r="J23" i="24"/>
  <c r="J24" i="24"/>
  <c r="J25" i="24"/>
  <c r="J26" i="24"/>
  <c r="J27" i="24"/>
  <c r="J28" i="24"/>
  <c r="J29" i="24"/>
  <c r="J30" i="24"/>
  <c r="J31" i="24"/>
  <c r="J32" i="24"/>
  <c r="J33" i="24"/>
  <c r="J34" i="24"/>
  <c r="J35" i="24"/>
  <c r="J36" i="24"/>
  <c r="J37" i="24"/>
  <c r="J38" i="24"/>
  <c r="J39" i="24"/>
  <c r="J40" i="24"/>
  <c r="J41" i="24"/>
  <c r="J42" i="24"/>
  <c r="J43" i="24"/>
  <c r="J44" i="24"/>
  <c r="J45" i="24"/>
  <c r="J46" i="24"/>
  <c r="J47" i="24"/>
  <c r="J48" i="24"/>
  <c r="J49" i="24"/>
  <c r="J50" i="24"/>
  <c r="J51" i="24"/>
  <c r="J52" i="24"/>
  <c r="J53" i="24"/>
  <c r="J54" i="24"/>
  <c r="J55" i="24"/>
  <c r="J56" i="24"/>
  <c r="J57" i="24"/>
  <c r="J58" i="24"/>
  <c r="J59" i="24"/>
  <c r="J60" i="24"/>
  <c r="J61" i="24"/>
  <c r="J62" i="24"/>
  <c r="J63" i="24"/>
  <c r="J9" i="24"/>
  <c r="I10" i="24"/>
  <c r="I11" i="24"/>
  <c r="I12" i="24"/>
  <c r="I13" i="24"/>
  <c r="I14" i="24"/>
  <c r="I15" i="24"/>
  <c r="I16" i="24"/>
  <c r="I17" i="24"/>
  <c r="I18" i="24"/>
  <c r="I19" i="24"/>
  <c r="I20" i="24"/>
  <c r="I21" i="24"/>
  <c r="I22" i="24"/>
  <c r="I23" i="24"/>
  <c r="I24" i="24"/>
  <c r="I25" i="24"/>
  <c r="I26" i="24"/>
  <c r="I27" i="24"/>
  <c r="I28" i="24"/>
  <c r="I29" i="24"/>
  <c r="I30" i="24"/>
  <c r="I31" i="24"/>
  <c r="I32" i="24"/>
  <c r="I33" i="24"/>
  <c r="I34" i="24"/>
  <c r="I35" i="24"/>
  <c r="I36" i="24"/>
  <c r="I37" i="24"/>
  <c r="I38" i="24"/>
  <c r="I39" i="24"/>
  <c r="I40" i="24"/>
  <c r="I41" i="24"/>
  <c r="I42" i="24"/>
  <c r="I43" i="24"/>
  <c r="I44" i="24"/>
  <c r="I45" i="24"/>
  <c r="I46" i="24"/>
  <c r="I47" i="24"/>
  <c r="I48" i="24"/>
  <c r="I49" i="24"/>
  <c r="I50" i="24"/>
  <c r="I51" i="24"/>
  <c r="I52" i="24"/>
  <c r="I53" i="24"/>
  <c r="I54" i="24"/>
  <c r="I55" i="24"/>
  <c r="I56" i="24"/>
  <c r="I57" i="24"/>
  <c r="I58" i="24"/>
  <c r="I59" i="24"/>
  <c r="I60" i="24"/>
  <c r="I61" i="24"/>
  <c r="I62" i="24"/>
  <c r="I63" i="24"/>
  <c r="I9" i="24"/>
  <c r="G10" i="24"/>
  <c r="G11" i="24"/>
  <c r="G12" i="24"/>
  <c r="G13" i="24"/>
  <c r="G14" i="24"/>
  <c r="G15" i="24"/>
  <c r="G16" i="24"/>
  <c r="G17" i="24"/>
  <c r="G18" i="24"/>
  <c r="G19" i="24"/>
  <c r="G20" i="24"/>
  <c r="G21" i="24"/>
  <c r="G22" i="24"/>
  <c r="G23" i="24"/>
  <c r="G24" i="24"/>
  <c r="G25" i="24"/>
  <c r="G26" i="24"/>
  <c r="G27" i="24"/>
  <c r="G28" i="24"/>
  <c r="G29" i="24"/>
  <c r="G30" i="24"/>
  <c r="G31" i="24"/>
  <c r="G32" i="24"/>
  <c r="G33" i="24"/>
  <c r="G34" i="24"/>
  <c r="G35" i="24"/>
  <c r="G36" i="24"/>
  <c r="G37" i="24"/>
  <c r="G38" i="24"/>
  <c r="G39" i="24"/>
  <c r="G40" i="24"/>
  <c r="G41" i="24"/>
  <c r="G42" i="24"/>
  <c r="G43" i="24"/>
  <c r="G44" i="24"/>
  <c r="G45" i="24"/>
  <c r="G46" i="24"/>
  <c r="G47" i="24"/>
  <c r="G48" i="24"/>
  <c r="G49" i="24"/>
  <c r="G50" i="24"/>
  <c r="G51" i="24"/>
  <c r="G52" i="24"/>
  <c r="G53" i="24"/>
  <c r="G54" i="24"/>
  <c r="G55" i="24"/>
  <c r="G56" i="24"/>
  <c r="G57" i="24"/>
  <c r="G58" i="24"/>
  <c r="G59" i="24"/>
  <c r="G60" i="24"/>
  <c r="G61" i="24"/>
  <c r="G62" i="24"/>
  <c r="G63" i="24"/>
  <c r="G9" i="24"/>
  <c r="E10" i="24"/>
  <c r="E11" i="24"/>
  <c r="E12" i="24"/>
  <c r="E13" i="24"/>
  <c r="E14" i="24"/>
  <c r="E15" i="24"/>
  <c r="E16" i="24"/>
  <c r="E17" i="24"/>
  <c r="E18" i="24"/>
  <c r="E19" i="24"/>
  <c r="E20" i="24"/>
  <c r="E21" i="24"/>
  <c r="E22" i="24"/>
  <c r="E23" i="24"/>
  <c r="E24" i="24"/>
  <c r="E25" i="24"/>
  <c r="E26" i="24"/>
  <c r="E27" i="24"/>
  <c r="E28" i="24"/>
  <c r="E29" i="24"/>
  <c r="E30" i="24"/>
  <c r="E31" i="24"/>
  <c r="E32" i="24"/>
  <c r="E33" i="24"/>
  <c r="E34" i="24"/>
  <c r="E35" i="24"/>
  <c r="E36" i="24"/>
  <c r="E37" i="24"/>
  <c r="E38" i="24"/>
  <c r="E39" i="24"/>
  <c r="E40" i="24"/>
  <c r="E41" i="24"/>
  <c r="E42" i="24"/>
  <c r="E43" i="24"/>
  <c r="E44" i="24"/>
  <c r="E45" i="24"/>
  <c r="E46" i="24"/>
  <c r="E47" i="24"/>
  <c r="E48" i="24"/>
  <c r="E49" i="24"/>
  <c r="E50" i="24"/>
  <c r="E51" i="24"/>
  <c r="E52" i="24"/>
  <c r="E53" i="24"/>
  <c r="E54" i="24"/>
  <c r="E55" i="24"/>
  <c r="E56" i="24"/>
  <c r="E57" i="24"/>
  <c r="E58" i="24"/>
  <c r="E59" i="24"/>
  <c r="E60" i="24"/>
  <c r="E61" i="24"/>
  <c r="E62" i="24"/>
  <c r="E63" i="24"/>
  <c r="E9" i="24"/>
  <c r="C10" i="24"/>
  <c r="C11" i="24"/>
  <c r="C12" i="24"/>
  <c r="C13" i="24"/>
  <c r="C14" i="24"/>
  <c r="C15" i="24"/>
  <c r="C16" i="24"/>
  <c r="C17" i="24"/>
  <c r="C18" i="24"/>
  <c r="C19" i="24"/>
  <c r="C20" i="24"/>
  <c r="C21" i="24"/>
  <c r="C22" i="24"/>
  <c r="C23" i="24"/>
  <c r="C24" i="24"/>
  <c r="C25" i="24"/>
  <c r="C26" i="24"/>
  <c r="C27" i="24"/>
  <c r="C28" i="24"/>
  <c r="C29" i="24"/>
  <c r="C30" i="24"/>
  <c r="C31" i="24"/>
  <c r="C32" i="24"/>
  <c r="C33" i="24"/>
  <c r="C34" i="24"/>
  <c r="C35" i="24"/>
  <c r="C36" i="24"/>
  <c r="C37" i="24"/>
  <c r="C38" i="24"/>
  <c r="C39" i="24"/>
  <c r="C40" i="24"/>
  <c r="C41" i="24"/>
  <c r="C42" i="24"/>
  <c r="C43" i="24"/>
  <c r="C44" i="24"/>
  <c r="C45" i="24"/>
  <c r="C46" i="24"/>
  <c r="C47" i="24"/>
  <c r="C48" i="24"/>
  <c r="C49" i="24"/>
  <c r="C50" i="24"/>
  <c r="C51" i="24"/>
  <c r="C52" i="24"/>
  <c r="C53" i="24"/>
  <c r="C54" i="24"/>
  <c r="C55" i="24"/>
  <c r="C56" i="24"/>
  <c r="C57" i="24"/>
  <c r="C58" i="24"/>
  <c r="C59" i="24"/>
  <c r="C60" i="24"/>
  <c r="C61" i="24"/>
  <c r="C62" i="24"/>
  <c r="C63" i="24"/>
  <c r="C9" i="24"/>
  <c r="F21" i="12"/>
  <c r="F22" i="12"/>
  <c r="F23" i="12"/>
  <c r="F24" i="12"/>
  <c r="F25" i="12"/>
  <c r="F26" i="12"/>
  <c r="F27" i="12"/>
  <c r="F28" i="12"/>
  <c r="F29" i="12"/>
  <c r="F30" i="12"/>
  <c r="E32" i="12"/>
  <c r="F20" i="12" s="1"/>
  <c r="D15" i="12"/>
  <c r="D16" i="12"/>
  <c r="D14" i="12"/>
  <c r="C15" i="12"/>
  <c r="C16" i="12"/>
  <c r="C14" i="12"/>
  <c r="B15" i="12"/>
  <c r="B16" i="12"/>
  <c r="B14" i="12"/>
  <c r="C9" i="12"/>
  <c r="D9" i="12"/>
  <c r="B9" i="12"/>
  <c r="C8" i="12"/>
  <c r="D8" i="12"/>
  <c r="B8" i="12"/>
  <c r="D7" i="12"/>
  <c r="C7" i="12"/>
  <c r="B7" i="12"/>
  <c r="A1" i="12"/>
  <c r="C27" i="3"/>
  <c r="B27" i="3"/>
  <c r="D24" i="3"/>
  <c r="E24" i="3"/>
  <c r="F24" i="3"/>
  <c r="G24" i="3"/>
  <c r="H24" i="3"/>
  <c r="I24" i="3"/>
  <c r="J24" i="3"/>
  <c r="K24" i="3"/>
  <c r="L24" i="3"/>
  <c r="C24" i="3"/>
  <c r="B20" i="3"/>
  <c r="C14" i="3"/>
  <c r="C15" i="3"/>
  <c r="C13" i="3"/>
  <c r="B14" i="3"/>
  <c r="B15" i="3"/>
  <c r="B13" i="3"/>
  <c r="A1" i="3"/>
  <c r="E27" i="11"/>
  <c r="E22" i="11"/>
  <c r="E13" i="11"/>
  <c r="D29" i="11"/>
  <c r="B29" i="11"/>
  <c r="B27" i="11"/>
  <c r="B22" i="11"/>
  <c r="B13" i="11"/>
  <c r="A1" i="11"/>
  <c r="G8" i="22"/>
  <c r="G4" i="22"/>
  <c r="A1" i="22"/>
  <c r="B13" i="2"/>
  <c r="B10" i="2"/>
  <c r="B11" i="2"/>
  <c r="B9" i="2"/>
  <c r="A13" i="1"/>
  <c r="A12" i="1"/>
  <c r="C13" i="2"/>
  <c r="B19" i="2" s="1"/>
  <c r="B12" i="1" s="1"/>
  <c r="C7" i="2"/>
  <c r="A1" i="2"/>
  <c r="A14" i="3"/>
  <c r="A15" i="3"/>
  <c r="A13" i="3"/>
  <c r="A27" i="11"/>
  <c r="A22" i="11"/>
  <c r="A13" i="11"/>
  <c r="I8" i="26"/>
  <c r="H8" i="26"/>
  <c r="F8" i="26"/>
  <c r="E8" i="26"/>
  <c r="D8" i="26"/>
  <c r="C17" i="3" l="1"/>
  <c r="D15" i="3"/>
  <c r="E15" i="3" s="1"/>
  <c r="F15" i="3" s="1"/>
  <c r="G15" i="3" s="1"/>
  <c r="H15" i="3" s="1"/>
  <c r="I15" i="3" s="1"/>
  <c r="J15" i="3" s="1"/>
  <c r="K15" i="3" s="1"/>
  <c r="L15" i="3" s="1"/>
  <c r="D14" i="3"/>
  <c r="E14" i="3" s="1"/>
  <c r="F14" i="3" s="1"/>
  <c r="G14" i="3" s="1"/>
  <c r="H14" i="3" s="1"/>
  <c r="I14" i="3" s="1"/>
  <c r="J14" i="3" s="1"/>
  <c r="K14" i="3" s="1"/>
  <c r="L14" i="3" s="1"/>
  <c r="D13" i="3"/>
  <c r="E13" i="3" s="1"/>
  <c r="E29" i="11"/>
  <c r="C14" i="2"/>
  <c r="C16" i="2" s="1"/>
  <c r="B20" i="2" s="1"/>
  <c r="B13" i="1" s="1"/>
  <c r="D9" i="25"/>
  <c r="E9" i="25" l="1"/>
  <c r="F9" i="25" s="1"/>
  <c r="G9" i="25" s="1"/>
  <c r="D17" i="3"/>
  <c r="D20" i="3" s="1"/>
  <c r="F13" i="3"/>
  <c r="E17" i="3"/>
  <c r="E20" i="3" s="1"/>
  <c r="B11" i="25" l="1"/>
  <c r="B12" i="25"/>
  <c r="D19" i="25" s="1"/>
  <c r="G13" i="3"/>
  <c r="F17" i="3"/>
  <c r="F20" i="3" s="1"/>
  <c r="L63" i="24"/>
  <c r="M63" i="24" s="1"/>
  <c r="L62" i="24"/>
  <c r="M62" i="24" s="1"/>
  <c r="L61" i="24"/>
  <c r="M61" i="24" s="1"/>
  <c r="L60" i="24"/>
  <c r="M60" i="24" s="1"/>
  <c r="L59" i="24"/>
  <c r="M59" i="24" s="1"/>
  <c r="L58" i="24"/>
  <c r="M58" i="24" s="1"/>
  <c r="L57" i="24"/>
  <c r="M57" i="24" s="1"/>
  <c r="L56" i="24"/>
  <c r="M56" i="24" s="1"/>
  <c r="L55" i="24"/>
  <c r="M55" i="24" s="1"/>
  <c r="L54" i="24"/>
  <c r="M54" i="24" s="1"/>
  <c r="L53" i="24"/>
  <c r="M53" i="24" s="1"/>
  <c r="L52" i="24"/>
  <c r="M52" i="24" s="1"/>
  <c r="L51" i="24"/>
  <c r="M51" i="24" s="1"/>
  <c r="L50" i="24"/>
  <c r="M50" i="24" s="1"/>
  <c r="L49" i="24"/>
  <c r="M49" i="24" s="1"/>
  <c r="L48" i="24"/>
  <c r="M48" i="24" s="1"/>
  <c r="L47" i="24"/>
  <c r="M47" i="24" s="1"/>
  <c r="L46" i="24"/>
  <c r="M46" i="24" s="1"/>
  <c r="L45" i="24"/>
  <c r="M45" i="24" s="1"/>
  <c r="L44" i="24"/>
  <c r="M44" i="24" s="1"/>
  <c r="L43" i="24"/>
  <c r="M43" i="24" s="1"/>
  <c r="L42" i="24"/>
  <c r="M42" i="24" s="1"/>
  <c r="L41" i="24"/>
  <c r="M41" i="24" s="1"/>
  <c r="L40" i="24"/>
  <c r="M40" i="24" s="1"/>
  <c r="L39" i="24"/>
  <c r="M39" i="24" s="1"/>
  <c r="L38" i="24"/>
  <c r="M38" i="24" s="1"/>
  <c r="L37" i="24"/>
  <c r="M37" i="24" s="1"/>
  <c r="L36" i="24"/>
  <c r="M36" i="24" s="1"/>
  <c r="L35" i="24"/>
  <c r="M35" i="24" s="1"/>
  <c r="L34" i="24"/>
  <c r="M34" i="24" s="1"/>
  <c r="L33" i="24"/>
  <c r="M33" i="24" s="1"/>
  <c r="L32" i="24"/>
  <c r="M32" i="24" s="1"/>
  <c r="L31" i="24"/>
  <c r="M31" i="24" s="1"/>
  <c r="L30" i="24"/>
  <c r="M30" i="24" s="1"/>
  <c r="L29" i="24"/>
  <c r="M29" i="24" s="1"/>
  <c r="L28" i="24"/>
  <c r="M28" i="24" s="1"/>
  <c r="L27" i="24"/>
  <c r="M27" i="24" s="1"/>
  <c r="L26" i="24"/>
  <c r="M26" i="24" s="1"/>
  <c r="L25" i="24"/>
  <c r="M25" i="24" s="1"/>
  <c r="L24" i="24"/>
  <c r="M24" i="24" s="1"/>
  <c r="L23" i="24"/>
  <c r="M23" i="24" s="1"/>
  <c r="L22" i="24"/>
  <c r="M22" i="24" s="1"/>
  <c r="L21" i="24"/>
  <c r="M21" i="24" s="1"/>
  <c r="L20" i="24"/>
  <c r="M20" i="24" s="1"/>
  <c r="L19" i="24"/>
  <c r="M19" i="24" s="1"/>
  <c r="L18" i="24"/>
  <c r="M18" i="24" s="1"/>
  <c r="L17" i="24"/>
  <c r="M17" i="24" s="1"/>
  <c r="L16" i="24"/>
  <c r="M16" i="24" s="1"/>
  <c r="L15" i="24"/>
  <c r="M15" i="24" s="1"/>
  <c r="L14" i="24"/>
  <c r="M14" i="24" s="1"/>
  <c r="L13" i="24"/>
  <c r="M13" i="24" s="1"/>
  <c r="L12" i="24"/>
  <c r="M12" i="24" s="1"/>
  <c r="L11" i="24"/>
  <c r="M11" i="24" s="1"/>
  <c r="L10" i="24"/>
  <c r="M10" i="24" s="1"/>
  <c r="L9" i="24"/>
  <c r="M9" i="24" s="1"/>
  <c r="N9" i="24" l="1"/>
  <c r="K5" i="24"/>
  <c r="J5" i="24"/>
  <c r="O9" i="24"/>
  <c r="O13" i="24"/>
  <c r="N13" i="24"/>
  <c r="C19" i="25"/>
  <c r="G19" i="25"/>
  <c r="H13" i="3"/>
  <c r="G17" i="3"/>
  <c r="G20" i="3" s="1"/>
  <c r="I8" i="23"/>
  <c r="H8" i="23"/>
  <c r="F8" i="23"/>
  <c r="E8" i="23"/>
  <c r="D8" i="23"/>
  <c r="I13" i="3" l="1"/>
  <c r="H17" i="3"/>
  <c r="H20" i="3" s="1"/>
  <c r="D5" i="12"/>
  <c r="C5" i="12"/>
  <c r="B5" i="12"/>
  <c r="D27" i="11"/>
  <c r="D22" i="11"/>
  <c r="D13" i="11"/>
  <c r="A7" i="3"/>
  <c r="A8" i="3"/>
  <c r="A6" i="3"/>
  <c r="J13" i="3" l="1"/>
  <c r="I17" i="3"/>
  <c r="I20" i="3" s="1"/>
  <c r="C22" i="3"/>
  <c r="K13" i="3" l="1"/>
  <c r="J17" i="3"/>
  <c r="J20" i="3" s="1"/>
  <c r="D22" i="3"/>
  <c r="D27" i="3" s="1"/>
  <c r="C25" i="3"/>
  <c r="L13" i="3" l="1"/>
  <c r="L17" i="3" s="1"/>
  <c r="L20" i="3" s="1"/>
  <c r="K17" i="3"/>
  <c r="K20" i="3" s="1"/>
  <c r="D25" i="3"/>
  <c r="E22" i="3"/>
  <c r="E27" i="3" s="1"/>
  <c r="E25" i="3" l="1"/>
  <c r="F22" i="3"/>
  <c r="F27" i="3" s="1"/>
  <c r="F25" i="3" l="1"/>
  <c r="G22" i="3"/>
  <c r="G27" i="3" s="1"/>
  <c r="G25" i="3" l="1"/>
  <c r="H22" i="3"/>
  <c r="H27" i="3" s="1"/>
  <c r="H25" i="3" l="1"/>
  <c r="I22" i="3"/>
  <c r="I27" i="3" s="1"/>
  <c r="I25" i="3" l="1"/>
  <c r="J22" i="3"/>
  <c r="J27" i="3" s="1"/>
  <c r="L22" i="3" l="1"/>
  <c r="L27" i="3" s="1"/>
  <c r="J25" i="3"/>
  <c r="K22" i="3"/>
  <c r="K27" i="3" s="1"/>
  <c r="B32" i="3" l="1"/>
  <c r="F5" i="1" s="1"/>
  <c r="B31" i="3"/>
  <c r="B33" i="3"/>
  <c r="F6" i="1" s="1"/>
  <c r="L25" i="3"/>
  <c r="K25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lab6xp</author>
  </authors>
  <commentList>
    <comment ref="G7" authorId="0" shapeId="0" xr:uid="{00000000-0006-0000-0200-000001000000}">
      <text>
        <r>
          <rPr>
            <b/>
            <sz val="8"/>
            <color indexed="81"/>
            <rFont val="Tahoma"/>
            <family val="2"/>
          </rPr>
          <t>Enter 4 if quarterly pmts and 1 if annual pmt.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Heidi Thompson</author>
    <author>Owner</author>
  </authors>
  <commentList>
    <comment ref="G8" authorId="0" shapeId="0" xr:uid="{00000000-0006-0000-0600-000001000000}">
      <text>
        <r>
          <rPr>
            <b/>
            <sz val="8"/>
            <color indexed="81"/>
            <rFont val="Tahoma"/>
            <family val="2"/>
          </rPr>
          <t xml:space="preserve">Lookup Description on Table sheet. </t>
        </r>
      </text>
    </comment>
    <comment ref="N8" authorId="0" shapeId="0" xr:uid="{00000000-0006-0000-0600-000002000000}">
      <text>
        <r>
          <rPr>
            <b/>
            <sz val="8"/>
            <color indexed="81"/>
            <rFont val="Tahoma"/>
            <family val="2"/>
          </rPr>
          <t>If Total &lt;10,000,000 = 300,000
If Total &gt; 10,000,000 = 3%</t>
        </r>
      </text>
    </comment>
    <comment ref="O8" authorId="1" shapeId="0" xr:uid="{00000000-0006-0000-0600-000003000000}">
      <text>
        <r>
          <rPr>
            <b/>
            <sz val="8"/>
            <color indexed="81"/>
            <rFont val="Tahoma"/>
            <family val="2"/>
          </rPr>
          <t>Based on Total amt.  Lookup on Tables sheet.</t>
        </r>
      </text>
    </comment>
  </commentList>
</comments>
</file>

<file path=xl/sharedStrings.xml><?xml version="1.0" encoding="utf-8"?>
<sst xmlns="http://schemas.openxmlformats.org/spreadsheetml/2006/main" count="507" uniqueCount="314">
  <si>
    <t>Carey Transportation, Inc.</t>
  </si>
  <si>
    <t>Notes and Summary</t>
  </si>
  <si>
    <t>Operate in following regions:</t>
  </si>
  <si>
    <t>Baltimore</t>
  </si>
  <si>
    <t>Frederick</t>
  </si>
  <si>
    <t>Eastern Shore</t>
  </si>
  <si>
    <t>Purchase Analysis</t>
  </si>
  <si>
    <t>%</t>
  </si>
  <si>
    <t>Amount</t>
  </si>
  <si>
    <t>Purchase Price</t>
  </si>
  <si>
    <t>Equity Required</t>
  </si>
  <si>
    <t>Partner 1</t>
  </si>
  <si>
    <t>Partner 2</t>
  </si>
  <si>
    <t>Partner 3</t>
  </si>
  <si>
    <t>Partner Contribution</t>
  </si>
  <si>
    <t>Amount Borrowed</t>
  </si>
  <si>
    <t>Total</t>
  </si>
  <si>
    <t>Loan Payment</t>
  </si>
  <si>
    <t>Error Checks</t>
  </si>
  <si>
    <t>Check of Partner %</t>
  </si>
  <si>
    <t>Check of Total Amount</t>
  </si>
  <si>
    <t>Cash Flow Analysis</t>
  </si>
  <si>
    <t>ASSUMPTIONS</t>
  </si>
  <si>
    <t>Sales Growth Rates:</t>
  </si>
  <si>
    <t>Expenses - Yrs 2-10, % of Sales</t>
  </si>
  <si>
    <t>Target Cash Flow</t>
  </si>
  <si>
    <t>Increase
Rate</t>
  </si>
  <si>
    <t>Year 1</t>
  </si>
  <si>
    <t>Year 2</t>
  </si>
  <si>
    <t>Year 3</t>
  </si>
  <si>
    <t>Year 4</t>
  </si>
  <si>
    <t>Year 5</t>
  </si>
  <si>
    <t>Year 6</t>
  </si>
  <si>
    <t>Year 7</t>
  </si>
  <si>
    <t>Year 8</t>
  </si>
  <si>
    <t>Year 9</t>
  </si>
  <si>
    <t>Year 10</t>
  </si>
  <si>
    <t>Income</t>
  </si>
  <si>
    <t>Total Sales Income</t>
  </si>
  <si>
    <t>Yrs 2-10
% of Sales</t>
  </si>
  <si>
    <t>Cash Flow</t>
  </si>
  <si>
    <t>Debt Service</t>
  </si>
  <si>
    <t>Cash Flow After Debt Service</t>
  </si>
  <si>
    <t>ANALYSIS</t>
  </si>
  <si>
    <t>Discount Rate</t>
  </si>
  <si>
    <t>Net Present Value</t>
  </si>
  <si>
    <t>Internal Rate of Return</t>
  </si>
  <si>
    <t>Investment and Returns</t>
  </si>
  <si>
    <t>Total Expenses</t>
  </si>
  <si>
    <t>Passenger Income Projections</t>
  </si>
  <si>
    <t>Region</t>
  </si>
  <si>
    <t>Office</t>
  </si>
  <si>
    <t>Rate/ Pax</t>
  </si>
  <si>
    <t># Pax</t>
  </si>
  <si>
    <t>Projected
Income</t>
  </si>
  <si>
    <t>Ocean City</t>
  </si>
  <si>
    <t>Salisbury</t>
  </si>
  <si>
    <t>Cambridge</t>
  </si>
  <si>
    <t>Easton</t>
  </si>
  <si>
    <t>Kent Island</t>
  </si>
  <si>
    <t>Charters</t>
  </si>
  <si>
    <t>Medical Transport</t>
  </si>
  <si>
    <t>East New Market</t>
  </si>
  <si>
    <t>Mt. Airy</t>
  </si>
  <si>
    <t>Howard County</t>
  </si>
  <si>
    <t>Grand Total</t>
  </si>
  <si>
    <t>Fleet Inventory and Stats</t>
  </si>
  <si>
    <t>Fleet Stats</t>
  </si>
  <si>
    <t>&lt;-Tot # Vans</t>
  </si>
  <si>
    <t>Average</t>
  </si>
  <si>
    <t>Highest</t>
  </si>
  <si>
    <t>Lowest</t>
  </si>
  <si>
    <t>Std Dev</t>
  </si>
  <si>
    <t>Fleet Stats by Make</t>
  </si>
  <si>
    <t># Vans</t>
  </si>
  <si>
    <t>Tot Cost</t>
  </si>
  <si>
    <t>Chevy</t>
  </si>
  <si>
    <t>Ford</t>
  </si>
  <si>
    <t>Nissan</t>
  </si>
  <si>
    <t>Inventory List</t>
  </si>
  <si>
    <t>Van</t>
  </si>
  <si>
    <t>Mileage</t>
  </si>
  <si>
    <t>Cost</t>
  </si>
  <si>
    <t>Project List</t>
  </si>
  <si>
    <t>Last Name</t>
  </si>
  <si>
    <t>First Name</t>
  </si>
  <si>
    <t>Location</t>
  </si>
  <si>
    <t>Description</t>
  </si>
  <si>
    <t>Type</t>
  </si>
  <si>
    <t>Start Date</t>
  </si>
  <si>
    <t>Amt Funded</t>
  </si>
  <si>
    <t>Amt Borrow</t>
  </si>
  <si>
    <t>Project Fee</t>
  </si>
  <si>
    <t>Insurance</t>
  </si>
  <si>
    <t>Smith</t>
  </si>
  <si>
    <t>Sue</t>
  </si>
  <si>
    <t>Baltimore, MD</t>
  </si>
  <si>
    <t>Apartments</t>
  </si>
  <si>
    <t>Rogers</t>
  </si>
  <si>
    <t>Mark</t>
  </si>
  <si>
    <t>Salisbury, MD</t>
  </si>
  <si>
    <t>Retail</t>
  </si>
  <si>
    <t>Guthrie</t>
  </si>
  <si>
    <t>Bernadette</t>
  </si>
  <si>
    <t>Towson, MD</t>
  </si>
  <si>
    <t>Jones</t>
  </si>
  <si>
    <t>Barbara</t>
  </si>
  <si>
    <t>Alexandria, VA</t>
  </si>
  <si>
    <t>Multi-Use</t>
  </si>
  <si>
    <t>Roger</t>
  </si>
  <si>
    <t>Washington, DC</t>
  </si>
  <si>
    <t>Moore</t>
  </si>
  <si>
    <t>Cole</t>
  </si>
  <si>
    <t>Ric</t>
  </si>
  <si>
    <t>Wafer</t>
  </si>
  <si>
    <t>Pat</t>
  </si>
  <si>
    <t>Columbia, MD</t>
  </si>
  <si>
    <t>Condos</t>
  </si>
  <si>
    <t>Strang</t>
  </si>
  <si>
    <t>Becky</t>
  </si>
  <si>
    <t>Peregoy</t>
  </si>
  <si>
    <t>Bob</t>
  </si>
  <si>
    <t>Spokane, WA</t>
  </si>
  <si>
    <t>Wolfe</t>
  </si>
  <si>
    <t>Marge</t>
  </si>
  <si>
    <t>Thompson</t>
  </si>
  <si>
    <t>Kristin</t>
  </si>
  <si>
    <t>Hodge</t>
  </si>
  <si>
    <t>Alan</t>
  </si>
  <si>
    <t>Carolyn</t>
  </si>
  <si>
    <t>Catonsville, MD</t>
  </si>
  <si>
    <t>Jim</t>
  </si>
  <si>
    <t>Richmond, VA</t>
  </si>
  <si>
    <t>Mall</t>
  </si>
  <si>
    <t>Morgan</t>
  </si>
  <si>
    <t>Bill</t>
  </si>
  <si>
    <t>Liam</t>
  </si>
  <si>
    <t>Rhonda</t>
  </si>
  <si>
    <t>Armitage</t>
  </si>
  <si>
    <t>Peggy</t>
  </si>
  <si>
    <t>DeMoss</t>
  </si>
  <si>
    <t>Gail</t>
  </si>
  <si>
    <t>Annapolis, MD</t>
  </si>
  <si>
    <t>Gorney</t>
  </si>
  <si>
    <t>Jeff</t>
  </si>
  <si>
    <t>White Marsh, MD</t>
  </si>
  <si>
    <t>Thomas</t>
  </si>
  <si>
    <t>Grant</t>
  </si>
  <si>
    <t>Williams</t>
  </si>
  <si>
    <t>Ashley</t>
  </si>
  <si>
    <t>Marsha</t>
  </si>
  <si>
    <t>Baker</t>
  </si>
  <si>
    <t>Rick</t>
  </si>
  <si>
    <t>Ellicott City, MD</t>
  </si>
  <si>
    <t>Allen</t>
  </si>
  <si>
    <t>Jack</t>
  </si>
  <si>
    <t>Jane</t>
  </si>
  <si>
    <t>Jennifer</t>
  </si>
  <si>
    <t>Steis</t>
  </si>
  <si>
    <t>Drew</t>
  </si>
  <si>
    <t>Frenchtown, MD</t>
  </si>
  <si>
    <t>Hagan</t>
  </si>
  <si>
    <t>Paul</t>
  </si>
  <si>
    <t>Sheila</t>
  </si>
  <si>
    <t>Shopping Ctr</t>
  </si>
  <si>
    <t>Bozman</t>
  </si>
  <si>
    <t>Mary Ann</t>
  </si>
  <si>
    <t>Bender</t>
  </si>
  <si>
    <t>Seattle, WA</t>
  </si>
  <si>
    <t>Hart</t>
  </si>
  <si>
    <t>Ben</t>
  </si>
  <si>
    <t>Mindy</t>
  </si>
  <si>
    <t>Bruneau</t>
  </si>
  <si>
    <t>Dan</t>
  </si>
  <si>
    <t>Day</t>
  </si>
  <si>
    <t>Katie</t>
  </si>
  <si>
    <t>Philadelphia, PA</t>
  </si>
  <si>
    <t>Phil</t>
  </si>
  <si>
    <t>Greg</t>
  </si>
  <si>
    <t>Stratton</t>
  </si>
  <si>
    <t>Holly</t>
  </si>
  <si>
    <t>Faass</t>
  </si>
  <si>
    <t>Joe</t>
  </si>
  <si>
    <t>Wendy</t>
  </si>
  <si>
    <t>Hershner</t>
  </si>
  <si>
    <t>Beth</t>
  </si>
  <si>
    <t>Carter</t>
  </si>
  <si>
    <t>David</t>
  </si>
  <si>
    <t>Myers</t>
  </si>
  <si>
    <t>Tim</t>
  </si>
  <si>
    <t>Michael</t>
  </si>
  <si>
    <t>Heland</t>
  </si>
  <si>
    <t>Vicki</t>
  </si>
  <si>
    <t>Tilghman</t>
  </si>
  <si>
    <t>Andrew</t>
  </si>
  <si>
    <t>Homan</t>
  </si>
  <si>
    <t>Gary</t>
  </si>
  <si>
    <t>Roepe</t>
  </si>
  <si>
    <t>Ken</t>
  </si>
  <si>
    <t>Kessler</t>
  </si>
  <si>
    <t>DeLorenzo</t>
  </si>
  <si>
    <t>Lisa</t>
  </si>
  <si>
    <t>Building Description</t>
  </si>
  <si>
    <t>Project Type</t>
  </si>
  <si>
    <t>RES</t>
  </si>
  <si>
    <t>COM</t>
  </si>
  <si>
    <t>MULTI</t>
  </si>
  <si>
    <t># Proj</t>
  </si>
  <si>
    <t>Tot $</t>
  </si>
  <si>
    <t>Avg $</t>
  </si>
  <si>
    <t>Hagerstown, MD</t>
  </si>
  <si>
    <t>Costner</t>
  </si>
  <si>
    <t>Priscilla</t>
  </si>
  <si>
    <t>Timken</t>
  </si>
  <si>
    <t>CT Gen</t>
  </si>
  <si>
    <t>US Cap</t>
  </si>
  <si>
    <t xml:space="preserve">Aetna </t>
  </si>
  <si>
    <t>ABC Co</t>
  </si>
  <si>
    <t>Pro-Surance</t>
  </si>
  <si>
    <t>XYZ</t>
  </si>
  <si>
    <t>&lt;-- COUNTIFS and SUMIFS</t>
  </si>
  <si>
    <t>MD Casualty</t>
  </si>
  <si>
    <t>#</t>
  </si>
  <si>
    <t>Carrier</t>
  </si>
  <si>
    <t>Amt</t>
  </si>
  <si>
    <t>Insurance Table  (carrier based on total amt of project)</t>
  </si>
  <si>
    <t>Amortization Schedule</t>
  </si>
  <si>
    <t>Loan Amount</t>
  </si>
  <si>
    <t>Annual Interest Rate</t>
  </si>
  <si>
    <t>Number of Years</t>
  </si>
  <si>
    <t>Number of Payments per Year</t>
  </si>
  <si>
    <t>Year #</t>
  </si>
  <si>
    <t>Period</t>
  </si>
  <si>
    <t>Debt
Service</t>
  </si>
  <si>
    <t>Interest</t>
  </si>
  <si>
    <t>Principal</t>
  </si>
  <si>
    <t>Amount
Outstanding</t>
  </si>
  <si>
    <t>Periods
Remaining</t>
  </si>
  <si>
    <t>Accum Interest</t>
  </si>
  <si>
    <t>Accum Principal</t>
  </si>
  <si>
    <t>Annual Interest</t>
  </si>
  <si>
    <t>Annual Principal</t>
  </si>
  <si>
    <t>Principal Adjustment</t>
  </si>
  <si>
    <t>Manufacturing Solution</t>
  </si>
  <si>
    <t>Profit</t>
  </si>
  <si>
    <t># to Make</t>
  </si>
  <si>
    <t>Total Cost</t>
  </si>
  <si>
    <t>Total Profit</t>
  </si>
  <si>
    <t>Hrs to Make</t>
  </si>
  <si>
    <t>Total Hours</t>
  </si>
  <si>
    <t>Max Hours</t>
  </si>
  <si>
    <t>chair</t>
  </si>
  <si>
    <t>table</t>
  </si>
  <si>
    <t>stool</t>
  </si>
  <si>
    <t>Cash to Invest</t>
  </si>
  <si>
    <t># Months Interest-Only</t>
  </si>
  <si>
    <t>Present Value (using NPV)</t>
  </si>
  <si>
    <t>Current Number of Projects is</t>
  </si>
  <si>
    <t xml:space="preserve">Total Value of all Projects is </t>
  </si>
  <si>
    <t>Full Name</t>
  </si>
  <si>
    <t>FY</t>
  </si>
  <si>
    <t>Review Month</t>
  </si>
  <si>
    <t>Bldg Desc/ Proj Type Tbl</t>
  </si>
  <si>
    <t>State</t>
  </si>
  <si>
    <t>MD</t>
  </si>
  <si>
    <t>Curr Value</t>
  </si>
  <si>
    <t>% Tot Val</t>
  </si>
  <si>
    <t>Tot Curr Value</t>
  </si>
  <si>
    <t>&lt;  0</t>
  </si>
  <si>
    <t>&gt;= 200,000</t>
  </si>
  <si>
    <t>Conditional Formats</t>
  </si>
  <si>
    <t>Rates</t>
  </si>
  <si>
    <t>Growth --&gt;</t>
  </si>
  <si>
    <t>Discount Rates</t>
  </si>
  <si>
    <t>IRR</t>
  </si>
  <si>
    <t>NPV</t>
  </si>
  <si>
    <t>Growth Rate</t>
  </si>
  <si>
    <t>Growth Rate and Discount Rate on NPV</t>
  </si>
  <si>
    <t>the Growth Rate on NPV and IRR</t>
  </si>
  <si>
    <t>2-Dimensional Table Showing Effect of Changing</t>
  </si>
  <si>
    <t>1-Dimensional Table Showing Effect of Changing</t>
  </si>
  <si>
    <t>Sensitivity Analysis</t>
  </si>
  <si>
    <t>Year 0</t>
  </si>
  <si>
    <t>Sentivity Analysis</t>
  </si>
  <si>
    <t>Carey Winery, Inc.</t>
  </si>
  <si>
    <t>Rehab Solution</t>
  </si>
  <si>
    <t>Number</t>
  </si>
  <si>
    <t>Wks to Complete</t>
  </si>
  <si>
    <t>Total Weeks</t>
  </si>
  <si>
    <t>Max Weeks</t>
  </si>
  <si>
    <t>apt</t>
  </si>
  <si>
    <t>ofc</t>
  </si>
  <si>
    <t>retail</t>
  </si>
  <si>
    <t>Time to Complete</t>
  </si>
  <si>
    <t>Solve for # types, so Cost &lt;= Cash, Weeks &lt;= Time, Wks (H) &lt;= Max (J) and Maximize Profit</t>
  </si>
  <si>
    <t>WELCOME</t>
  </si>
  <si>
    <t>Heidi Thompson</t>
  </si>
  <si>
    <t>hpthompco@aol.com</t>
  </si>
  <si>
    <t>Date</t>
  </si>
  <si>
    <t>Loan Balance:</t>
  </si>
  <si>
    <t>As Of:</t>
  </si>
  <si>
    <t>Available Hours</t>
  </si>
  <si>
    <t>Solve for # to Make, so use Cost &lt;= Cash, Tot Hrs &lt;= Avail and Max and Maximize Profit</t>
  </si>
  <si>
    <t>Loan Info</t>
  </si>
  <si>
    <t>Monthly Pmt:</t>
  </si>
  <si>
    <t>Analysis</t>
  </si>
  <si>
    <t>Row Labels</t>
  </si>
  <si>
    <t>DC</t>
  </si>
  <si>
    <t>PA</t>
  </si>
  <si>
    <t>VA</t>
  </si>
  <si>
    <t>WA</t>
  </si>
  <si>
    <t>Sum of Total</t>
  </si>
  <si>
    <t>Total Value</t>
  </si>
  <si>
    <t>Expect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</si>
</sst>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8" formatCode="&quot;$&quot;#,##0.00_);[Red]\(&quot;$&quot;#,##0.0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_ mmm\-dd"/>
    <numFmt numFmtId="167" formatCode="0.0%"/>
  </numFmts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13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8"/>
      <color indexed="81"/>
      <name val="Tahoma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u val="singleAccounting"/>
      <sz val="10"/>
      <name val="Calibri"/>
      <family val="2"/>
      <scheme val="minor"/>
    </font>
    <font>
      <b/>
      <u/>
      <sz val="10"/>
      <name val="Calibri"/>
      <family val="2"/>
      <scheme val="minor"/>
    </font>
    <font>
      <i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u/>
      <sz val="10"/>
      <color theme="10"/>
      <name val="Arial"/>
      <family val="2"/>
    </font>
    <font>
      <b/>
      <u/>
      <sz val="20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3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4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26" fillId="0" borderId="0" applyNumberFormat="0" applyFill="0" applyBorder="0" applyAlignment="0" applyProtection="0"/>
    <xf numFmtId="9" fontId="5" fillId="0" borderId="0" applyFont="0" applyFill="0" applyBorder="0" applyAlignment="0" applyProtection="0"/>
  </cellStyleXfs>
  <cellXfs count="211">
    <xf numFmtId="0" fontId="0" fillId="0" borderId="0" xfId="0"/>
    <xf numFmtId="0" fontId="1" fillId="2" borderId="0" xfId="0" applyFont="1" applyFill="1"/>
    <xf numFmtId="0" fontId="3" fillId="2" borderId="0" xfId="0" applyFont="1" applyFill="1"/>
    <xf numFmtId="0" fontId="2" fillId="0" borderId="0" xfId="0" applyFont="1"/>
    <xf numFmtId="0" fontId="0" fillId="0" borderId="0" xfId="0" applyAlignment="1">
      <alignment horizontal="left" indent="2"/>
    </xf>
    <xf numFmtId="0" fontId="4" fillId="2" borderId="0" xfId="0" applyFont="1" applyFill="1"/>
    <xf numFmtId="9" fontId="0" fillId="0" borderId="0" xfId="0" applyNumberFormat="1"/>
    <xf numFmtId="0" fontId="1" fillId="0" borderId="0" xfId="0" applyFont="1"/>
    <xf numFmtId="0" fontId="0" fillId="0" borderId="1" xfId="0" applyBorder="1" applyAlignment="1">
      <alignment horizontal="left" indent="1"/>
    </xf>
    <xf numFmtId="0" fontId="0" fillId="0" borderId="2" xfId="0" applyBorder="1"/>
    <xf numFmtId="0" fontId="0" fillId="0" borderId="5" xfId="0" applyBorder="1" applyAlignment="1">
      <alignment horizontal="left" indent="1"/>
    </xf>
    <xf numFmtId="0" fontId="0" fillId="0" borderId="7" xfId="0" applyBorder="1"/>
    <xf numFmtId="164" fontId="3" fillId="2" borderId="0" xfId="1" applyNumberFormat="1" applyFont="1" applyFill="1"/>
    <xf numFmtId="164" fontId="4" fillId="2" borderId="0" xfId="1" applyNumberFormat="1" applyFont="1" applyFill="1"/>
    <xf numFmtId="164" fontId="6" fillId="0" borderId="0" xfId="1" applyNumberFormat="1" applyFont="1" applyAlignment="1">
      <alignment horizontal="center"/>
    </xf>
    <xf numFmtId="164" fontId="0" fillId="0" borderId="0" xfId="1" applyNumberFormat="1" applyFont="1"/>
    <xf numFmtId="164" fontId="0" fillId="0" borderId="7" xfId="1" applyNumberFormat="1" applyFont="1" applyBorder="1"/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1" xfId="0" applyFont="1" applyBorder="1"/>
    <xf numFmtId="0" fontId="1" fillId="0" borderId="3" xfId="0" applyFont="1" applyBorder="1" applyAlignment="1">
      <alignment horizontal="left" indent="1"/>
    </xf>
    <xf numFmtId="0" fontId="1" fillId="0" borderId="3" xfId="0" applyFont="1" applyBorder="1"/>
    <xf numFmtId="0" fontId="1" fillId="0" borderId="5" xfId="0" applyFont="1" applyBorder="1"/>
    <xf numFmtId="0" fontId="6" fillId="0" borderId="0" xfId="0" applyFont="1" applyAlignment="1">
      <alignment horizontal="center" wrapText="1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12" xfId="0" applyFont="1" applyBorder="1"/>
    <xf numFmtId="164" fontId="0" fillId="0" borderId="11" xfId="1" applyNumberFormat="1" applyFont="1" applyBorder="1"/>
    <xf numFmtId="9" fontId="0" fillId="0" borderId="13" xfId="0" applyNumberFormat="1" applyBorder="1"/>
    <xf numFmtId="164" fontId="0" fillId="0" borderId="6" xfId="1" applyNumberFormat="1" applyFont="1" applyBorder="1" applyProtection="1">
      <protection locked="0"/>
    </xf>
    <xf numFmtId="164" fontId="0" fillId="0" borderId="0" xfId="1" applyNumberFormat="1" applyFont="1" applyProtection="1">
      <protection locked="0"/>
    </xf>
    <xf numFmtId="9" fontId="0" fillId="0" borderId="9" xfId="0" applyNumberFormat="1" applyBorder="1" applyProtection="1">
      <protection locked="0"/>
    </xf>
    <xf numFmtId="0" fontId="8" fillId="0" borderId="0" xfId="4"/>
    <xf numFmtId="43" fontId="8" fillId="0" borderId="0" xfId="3"/>
    <xf numFmtId="43" fontId="8" fillId="0" borderId="0" xfId="3" applyFont="1"/>
    <xf numFmtId="0" fontId="8" fillId="0" borderId="0" xfId="4" applyAlignment="1">
      <alignment horizontal="center"/>
    </xf>
    <xf numFmtId="43" fontId="5" fillId="0" borderId="0" xfId="3" applyFont="1" applyAlignment="1"/>
    <xf numFmtId="43" fontId="5" fillId="0" borderId="0" xfId="3" applyFont="1"/>
    <xf numFmtId="0" fontId="5" fillId="0" borderId="0" xfId="7"/>
    <xf numFmtId="0" fontId="0" fillId="0" borderId="0" xfId="0" applyAlignment="1">
      <alignment horizontal="left" indent="1"/>
    </xf>
    <xf numFmtId="43" fontId="11" fillId="2" borderId="1" xfId="7" applyNumberFormat="1" applyFont="1" applyFill="1" applyBorder="1"/>
    <xf numFmtId="43" fontId="11" fillId="2" borderId="17" xfId="7" applyNumberFormat="1" applyFont="1" applyFill="1" applyBorder="1"/>
    <xf numFmtId="43" fontId="11" fillId="2" borderId="17" xfId="5" applyFont="1" applyFill="1" applyBorder="1"/>
    <xf numFmtId="0" fontId="5" fillId="2" borderId="17" xfId="7" applyFill="1" applyBorder="1"/>
    <xf numFmtId="0" fontId="5" fillId="2" borderId="2" xfId="7" applyFill="1" applyBorder="1"/>
    <xf numFmtId="43" fontId="11" fillId="2" borderId="14" xfId="7" applyNumberFormat="1" applyFont="1" applyFill="1" applyBorder="1"/>
    <xf numFmtId="43" fontId="11" fillId="2" borderId="14" xfId="5" applyFont="1" applyFill="1" applyBorder="1"/>
    <xf numFmtId="43" fontId="11" fillId="2" borderId="6" xfId="7" applyNumberFormat="1" applyFont="1" applyFill="1" applyBorder="1"/>
    <xf numFmtId="43" fontId="9" fillId="3" borderId="1" xfId="3" applyFont="1" applyFill="1" applyBorder="1"/>
    <xf numFmtId="43" fontId="9" fillId="3" borderId="17" xfId="3" applyFont="1" applyFill="1" applyBorder="1"/>
    <xf numFmtId="43" fontId="9" fillId="3" borderId="17" xfId="3" applyFont="1" applyFill="1" applyBorder="1" applyAlignment="1">
      <alignment horizontal="right" indent="1"/>
    </xf>
    <xf numFmtId="41" fontId="9" fillId="3" borderId="1" xfId="3" applyNumberFormat="1" applyFont="1" applyFill="1" applyBorder="1"/>
    <xf numFmtId="0" fontId="8" fillId="3" borderId="2" xfId="4" applyFill="1" applyBorder="1" applyAlignment="1">
      <alignment horizontal="center"/>
    </xf>
    <xf numFmtId="43" fontId="9" fillId="3" borderId="3" xfId="3" applyFont="1" applyFill="1" applyBorder="1"/>
    <xf numFmtId="43" fontId="9" fillId="3" borderId="0" xfId="3" applyFont="1" applyFill="1" applyBorder="1"/>
    <xf numFmtId="43" fontId="9" fillId="3" borderId="0" xfId="3" applyFont="1" applyFill="1" applyBorder="1" applyAlignment="1">
      <alignment horizontal="right" indent="1"/>
    </xf>
    <xf numFmtId="10" fontId="9" fillId="3" borderId="3" xfId="9" applyNumberFormat="1" applyFont="1" applyFill="1" applyBorder="1"/>
    <xf numFmtId="0" fontId="8" fillId="3" borderId="4" xfId="4" applyFill="1" applyBorder="1" applyAlignment="1">
      <alignment horizontal="center"/>
    </xf>
    <xf numFmtId="164" fontId="9" fillId="3" borderId="3" xfId="3" applyNumberFormat="1" applyFont="1" applyFill="1" applyBorder="1"/>
    <xf numFmtId="43" fontId="9" fillId="3" borderId="5" xfId="3" applyFont="1" applyFill="1" applyBorder="1"/>
    <xf numFmtId="43" fontId="9" fillId="3" borderId="14" xfId="3" applyFont="1" applyFill="1" applyBorder="1"/>
    <xf numFmtId="43" fontId="9" fillId="3" borderId="14" xfId="3" applyFont="1" applyFill="1" applyBorder="1" applyAlignment="1">
      <alignment horizontal="right" indent="1"/>
    </xf>
    <xf numFmtId="0" fontId="8" fillId="3" borderId="6" xfId="4" applyFill="1" applyBorder="1" applyAlignment="1">
      <alignment horizontal="center"/>
    </xf>
    <xf numFmtId="0" fontId="9" fillId="2" borderId="15" xfId="4" applyFont="1" applyFill="1" applyBorder="1" applyAlignment="1">
      <alignment horizontal="center"/>
    </xf>
    <xf numFmtId="43" fontId="9" fillId="2" borderId="15" xfId="3" applyFont="1" applyFill="1" applyBorder="1" applyAlignment="1">
      <alignment horizontal="center" wrapText="1"/>
    </xf>
    <xf numFmtId="43" fontId="9" fillId="2" borderId="15" xfId="3" applyFont="1" applyFill="1" applyBorder="1" applyAlignment="1">
      <alignment horizontal="center"/>
    </xf>
    <xf numFmtId="0" fontId="9" fillId="2" borderId="15" xfId="4" applyFont="1" applyFill="1" applyBorder="1" applyAlignment="1">
      <alignment horizontal="center" wrapText="1"/>
    </xf>
    <xf numFmtId="0" fontId="11" fillId="0" borderId="0" xfId="0" applyFont="1"/>
    <xf numFmtId="43" fontId="5" fillId="0" borderId="0" xfId="1" applyFont="1"/>
    <xf numFmtId="0" fontId="1" fillId="0" borderId="14" xfId="0" applyFont="1" applyBorder="1" applyAlignment="1">
      <alignment horizontal="center"/>
    </xf>
    <xf numFmtId="0" fontId="1" fillId="0" borderId="14" xfId="0" applyFont="1" applyBorder="1" applyAlignment="1">
      <alignment horizontal="center" wrapText="1"/>
    </xf>
    <xf numFmtId="0" fontId="0" fillId="0" borderId="0" xfId="0" applyAlignment="1">
      <alignment wrapText="1"/>
    </xf>
    <xf numFmtId="43" fontId="1" fillId="0" borderId="14" xfId="1" applyFont="1" applyFill="1" applyBorder="1" applyAlignment="1">
      <alignment horizontal="center" wrapText="1"/>
    </xf>
    <xf numFmtId="164" fontId="5" fillId="0" borderId="0" xfId="1" applyNumberFormat="1" applyFont="1"/>
    <xf numFmtId="164" fontId="5" fillId="5" borderId="0" xfId="1" applyNumberFormat="1" applyFont="1" applyFill="1"/>
    <xf numFmtId="43" fontId="0" fillId="5" borderId="0" xfId="0" applyNumberFormat="1" applyFill="1"/>
    <xf numFmtId="43" fontId="0" fillId="0" borderId="0" xfId="1" applyFont="1"/>
    <xf numFmtId="0" fontId="0" fillId="5" borderId="15" xfId="0" applyFill="1" applyBorder="1" applyAlignment="1">
      <alignment horizontal="left" vertical="center" indent="2"/>
    </xf>
    <xf numFmtId="0" fontId="0" fillId="5" borderId="19" xfId="0" applyFill="1" applyBorder="1" applyAlignment="1">
      <alignment horizontal="left" vertical="center" indent="2"/>
    </xf>
    <xf numFmtId="164" fontId="0" fillId="0" borderId="0" xfId="1" applyNumberFormat="1" applyFont="1" applyFill="1"/>
    <xf numFmtId="0" fontId="6" fillId="0" borderId="0" xfId="0" applyFont="1" applyAlignment="1">
      <alignment horizontal="center"/>
    </xf>
    <xf numFmtId="164" fontId="6" fillId="0" borderId="0" xfId="1" applyNumberFormat="1" applyFont="1" applyFill="1" applyAlignment="1">
      <alignment horizontal="center"/>
    </xf>
    <xf numFmtId="165" fontId="0" fillId="0" borderId="0" xfId="2" applyNumberFormat="1" applyFont="1" applyFill="1"/>
    <xf numFmtId="0" fontId="1" fillId="0" borderId="17" xfId="0" applyFont="1" applyBorder="1"/>
    <xf numFmtId="9" fontId="0" fillId="0" borderId="17" xfId="0" applyNumberFormat="1" applyBorder="1"/>
    <xf numFmtId="164" fontId="0" fillId="0" borderId="17" xfId="1" applyNumberFormat="1" applyFont="1" applyFill="1" applyBorder="1"/>
    <xf numFmtId="0" fontId="1" fillId="0" borderId="7" xfId="0" applyFont="1" applyBorder="1" applyAlignment="1">
      <alignment horizontal="left" indent="3"/>
    </xf>
    <xf numFmtId="165" fontId="0" fillId="0" borderId="7" xfId="2" applyNumberFormat="1" applyFont="1" applyFill="1" applyBorder="1"/>
    <xf numFmtId="0" fontId="7" fillId="0" borderId="0" xfId="0" applyFont="1"/>
    <xf numFmtId="43" fontId="9" fillId="3" borderId="18" xfId="3" applyFont="1" applyFill="1" applyBorder="1"/>
    <xf numFmtId="43" fontId="9" fillId="3" borderId="15" xfId="3" applyFont="1" applyFill="1" applyBorder="1"/>
    <xf numFmtId="0" fontId="8" fillId="3" borderId="19" xfId="4" applyFill="1" applyBorder="1" applyAlignment="1">
      <alignment horizontal="center"/>
    </xf>
    <xf numFmtId="43" fontId="9" fillId="3" borderId="19" xfId="3" applyFont="1" applyFill="1" applyBorder="1" applyAlignment="1">
      <alignment horizontal="right" indent="1"/>
    </xf>
    <xf numFmtId="164" fontId="9" fillId="3" borderId="15" xfId="5" applyNumberFormat="1" applyFont="1" applyFill="1" applyBorder="1"/>
    <xf numFmtId="0" fontId="12" fillId="2" borderId="5" xfId="7" applyFont="1" applyFill="1" applyBorder="1" applyAlignment="1">
      <alignment horizontal="left"/>
    </xf>
    <xf numFmtId="0" fontId="11" fillId="2" borderId="0" xfId="0" applyFont="1" applyFill="1"/>
    <xf numFmtId="43" fontId="13" fillId="2" borderId="0" xfId="3" applyFont="1" applyFill="1" applyAlignment="1"/>
    <xf numFmtId="41" fontId="14" fillId="2" borderId="0" xfId="4" applyNumberFormat="1" applyFont="1" applyFill="1"/>
    <xf numFmtId="0" fontId="14" fillId="0" borderId="0" xfId="4" applyFont="1"/>
    <xf numFmtId="43" fontId="15" fillId="2" borderId="0" xfId="3" applyFont="1" applyFill="1" applyAlignment="1">
      <alignment horizontal="left"/>
    </xf>
    <xf numFmtId="43" fontId="15" fillId="2" borderId="0" xfId="3" applyFont="1" applyFill="1" applyAlignment="1"/>
    <xf numFmtId="43" fontId="16" fillId="0" borderId="14" xfId="3" applyFont="1" applyBorder="1" applyAlignment="1"/>
    <xf numFmtId="41" fontId="16" fillId="0" borderId="14" xfId="4" applyNumberFormat="1" applyFont="1" applyBorder="1" applyAlignment="1">
      <alignment horizontal="center"/>
    </xf>
    <xf numFmtId="41" fontId="16" fillId="0" borderId="14" xfId="4" applyNumberFormat="1" applyFont="1" applyBorder="1" applyAlignment="1">
      <alignment horizontal="center" wrapText="1"/>
    </xf>
    <xf numFmtId="41" fontId="14" fillId="0" borderId="0" xfId="4" applyNumberFormat="1" applyFont="1"/>
    <xf numFmtId="43" fontId="16" fillId="0" borderId="15" xfId="3" applyFont="1" applyBorder="1" applyAlignment="1">
      <alignment horizontal="left" indent="1"/>
    </xf>
    <xf numFmtId="41" fontId="14" fillId="0" borderId="15" xfId="4" applyNumberFormat="1" applyFont="1" applyBorder="1"/>
    <xf numFmtId="41" fontId="14" fillId="3" borderId="15" xfId="4" applyNumberFormat="1" applyFont="1" applyFill="1" applyBorder="1"/>
    <xf numFmtId="43" fontId="17" fillId="0" borderId="7" xfId="3" applyFont="1" applyBorder="1" applyAlignment="1">
      <alignment horizontal="left" indent="4"/>
    </xf>
    <xf numFmtId="41" fontId="14" fillId="0" borderId="7" xfId="4" applyNumberFormat="1" applyFont="1" applyBorder="1"/>
    <xf numFmtId="41" fontId="14" fillId="5" borderId="7" xfId="4" applyNumberFormat="1" applyFont="1" applyFill="1" applyBorder="1"/>
    <xf numFmtId="0" fontId="13" fillId="2" borderId="0" xfId="4" applyFont="1" applyFill="1"/>
    <xf numFmtId="0" fontId="18" fillId="2" borderId="0" xfId="4" applyFont="1" applyFill="1"/>
    <xf numFmtId="0" fontId="15" fillId="2" borderId="0" xfId="4" applyFont="1" applyFill="1"/>
    <xf numFmtId="0" fontId="19" fillId="0" borderId="0" xfId="4" applyFont="1"/>
    <xf numFmtId="0" fontId="14" fillId="3" borderId="0" xfId="4" applyFont="1" applyFill="1" applyAlignment="1">
      <alignment horizontal="center"/>
    </xf>
    <xf numFmtId="41" fontId="20" fillId="0" borderId="0" xfId="4" applyNumberFormat="1" applyFont="1" applyAlignment="1">
      <alignment horizontal="center"/>
    </xf>
    <xf numFmtId="41" fontId="14" fillId="3" borderId="0" xfId="4" applyNumberFormat="1" applyFont="1" applyFill="1"/>
    <xf numFmtId="0" fontId="21" fillId="0" borderId="0" xfId="4" applyFont="1" applyAlignment="1">
      <alignment horizontal="center"/>
    </xf>
    <xf numFmtId="41" fontId="21" fillId="0" borderId="0" xfId="4" applyNumberFormat="1" applyFont="1" applyAlignment="1">
      <alignment horizontal="center"/>
    </xf>
    <xf numFmtId="0" fontId="14" fillId="4" borderId="0" xfId="4" applyFont="1" applyFill="1"/>
    <xf numFmtId="41" fontId="14" fillId="4" borderId="0" xfId="4" applyNumberFormat="1" applyFont="1" applyFill="1"/>
    <xf numFmtId="43" fontId="16" fillId="0" borderId="0" xfId="3" applyFont="1"/>
    <xf numFmtId="14" fontId="14" fillId="0" borderId="0" xfId="4" applyNumberFormat="1" applyFont="1" applyAlignment="1">
      <alignment horizontal="left"/>
    </xf>
    <xf numFmtId="166" fontId="14" fillId="0" borderId="0" xfId="4" applyNumberFormat="1" applyFont="1" applyAlignment="1">
      <alignment horizontal="left"/>
    </xf>
    <xf numFmtId="43" fontId="14" fillId="0" borderId="0" xfId="4" applyNumberFormat="1" applyFont="1"/>
    <xf numFmtId="43" fontId="22" fillId="0" borderId="0" xfId="3" applyFont="1" applyAlignment="1">
      <alignment horizontal="left" indent="1"/>
    </xf>
    <xf numFmtId="43" fontId="16" fillId="0" borderId="15" xfId="3" applyFont="1" applyBorder="1" applyAlignment="1">
      <alignment horizontal="center"/>
    </xf>
    <xf numFmtId="14" fontId="16" fillId="0" borderId="15" xfId="4" applyNumberFormat="1" applyFont="1" applyBorder="1" applyAlignment="1">
      <alignment horizontal="center"/>
    </xf>
    <xf numFmtId="166" fontId="16" fillId="0" borderId="19" xfId="4" applyNumberFormat="1" applyFont="1" applyBorder="1" applyAlignment="1">
      <alignment horizontal="center"/>
    </xf>
    <xf numFmtId="43" fontId="16" fillId="0" borderId="3" xfId="4" applyNumberFormat="1" applyFont="1" applyBorder="1"/>
    <xf numFmtId="164" fontId="14" fillId="0" borderId="0" xfId="3" applyNumberFormat="1" applyFont="1" applyBorder="1" applyAlignment="1"/>
    <xf numFmtId="164" fontId="14" fillId="0" borderId="0" xfId="1" applyNumberFormat="1" applyFont="1" applyBorder="1" applyAlignment="1">
      <alignment horizontal="left"/>
    </xf>
    <xf numFmtId="164" fontId="14" fillId="0" borderId="4" xfId="1" applyNumberFormat="1" applyFont="1" applyBorder="1" applyAlignment="1">
      <alignment horizontal="left"/>
    </xf>
    <xf numFmtId="43" fontId="16" fillId="0" borderId="5" xfId="4" applyNumberFormat="1" applyFont="1" applyBorder="1"/>
    <xf numFmtId="164" fontId="14" fillId="0" borderId="14" xfId="3" applyNumberFormat="1" applyFont="1" applyBorder="1" applyAlignment="1"/>
    <xf numFmtId="164" fontId="14" fillId="0" borderId="14" xfId="1" applyNumberFormat="1" applyFont="1" applyBorder="1" applyAlignment="1">
      <alignment horizontal="left"/>
    </xf>
    <xf numFmtId="164" fontId="14" fillId="0" borderId="6" xfId="1" applyNumberFormat="1" applyFont="1" applyBorder="1" applyAlignment="1">
      <alignment horizontal="left"/>
    </xf>
    <xf numFmtId="43" fontId="16" fillId="0" borderId="14" xfId="3" applyFont="1" applyBorder="1" applyAlignment="1">
      <alignment horizontal="center"/>
    </xf>
    <xf numFmtId="43" fontId="16" fillId="0" borderId="14" xfId="4" applyNumberFormat="1" applyFont="1" applyBorder="1" applyAlignment="1">
      <alignment horizontal="center"/>
    </xf>
    <xf numFmtId="14" fontId="16" fillId="0" borderId="14" xfId="4" applyNumberFormat="1" applyFont="1" applyBorder="1" applyAlignment="1">
      <alignment horizontal="left"/>
    </xf>
    <xf numFmtId="14" fontId="16" fillId="0" borderId="14" xfId="4" applyNumberFormat="1" applyFont="1" applyBorder="1" applyAlignment="1">
      <alignment horizontal="center"/>
    </xf>
    <xf numFmtId="166" fontId="16" fillId="0" borderId="14" xfId="4" applyNumberFormat="1" applyFont="1" applyBorder="1" applyAlignment="1">
      <alignment horizontal="left"/>
    </xf>
    <xf numFmtId="0" fontId="14" fillId="0" borderId="0" xfId="4" applyFont="1" applyAlignment="1">
      <alignment horizontal="left"/>
    </xf>
    <xf numFmtId="164" fontId="14" fillId="0" borderId="0" xfId="5" applyNumberFormat="1" applyFont="1"/>
    <xf numFmtId="0" fontId="16" fillId="0" borderId="16" xfId="4" applyFont="1" applyBorder="1" applyAlignment="1">
      <alignment wrapText="1"/>
    </xf>
    <xf numFmtId="164" fontId="21" fillId="0" borderId="0" xfId="6" applyNumberFormat="1" applyFont="1" applyAlignment="1">
      <alignment horizontal="center"/>
    </xf>
    <xf numFmtId="164" fontId="14" fillId="0" borderId="0" xfId="6" applyNumberFormat="1" applyFont="1"/>
    <xf numFmtId="0" fontId="14" fillId="5" borderId="0" xfId="4" applyFont="1" applyFill="1"/>
    <xf numFmtId="164" fontId="14" fillId="5" borderId="0" xfId="5" applyNumberFormat="1" applyFont="1" applyFill="1"/>
    <xf numFmtId="0" fontId="16" fillId="0" borderId="0" xfId="4" applyFont="1"/>
    <xf numFmtId="43" fontId="16" fillId="0" borderId="18" xfId="4" applyNumberFormat="1" applyFont="1" applyBorder="1" applyAlignment="1">
      <alignment horizontal="center"/>
    </xf>
    <xf numFmtId="41" fontId="14" fillId="0" borderId="18" xfId="4" applyNumberFormat="1" applyFont="1" applyBorder="1"/>
    <xf numFmtId="41" fontId="23" fillId="0" borderId="15" xfId="4" applyNumberFormat="1" applyFont="1" applyBorder="1" applyAlignment="1">
      <alignment horizontal="right"/>
    </xf>
    <xf numFmtId="41" fontId="14" fillId="0" borderId="20" xfId="4" applyNumberFormat="1" applyFont="1" applyBorder="1"/>
    <xf numFmtId="0" fontId="14" fillId="0" borderId="13" xfId="4" applyFont="1" applyBorder="1"/>
    <xf numFmtId="0" fontId="14" fillId="0" borderId="16" xfId="4" applyFont="1" applyBorder="1"/>
    <xf numFmtId="0" fontId="14" fillId="0" borderId="12" xfId="4" applyFont="1" applyBorder="1"/>
    <xf numFmtId="0" fontId="14" fillId="0" borderId="11" xfId="4" applyFont="1" applyBorder="1"/>
    <xf numFmtId="0" fontId="14" fillId="0" borderId="10" xfId="4" applyFont="1" applyBorder="1" applyAlignment="1">
      <alignment horizontal="left" indent="6"/>
    </xf>
    <xf numFmtId="0" fontId="14" fillId="6" borderId="0" xfId="4" applyFont="1" applyFill="1"/>
    <xf numFmtId="0" fontId="23" fillId="0" borderId="10" xfId="4" applyFont="1" applyBorder="1" applyAlignment="1">
      <alignment horizontal="left" indent="4"/>
    </xf>
    <xf numFmtId="0" fontId="14" fillId="0" borderId="9" xfId="4" applyFont="1" applyBorder="1"/>
    <xf numFmtId="0" fontId="14" fillId="0" borderId="21" xfId="4" applyFont="1" applyBorder="1"/>
    <xf numFmtId="0" fontId="14" fillId="0" borderId="8" xfId="4" applyFont="1" applyBorder="1"/>
    <xf numFmtId="9" fontId="14" fillId="0" borderId="0" xfId="9" applyFont="1"/>
    <xf numFmtId="10" fontId="14" fillId="0" borderId="0" xfId="4" applyNumberFormat="1" applyFont="1"/>
    <xf numFmtId="0" fontId="23" fillId="0" borderId="0" xfId="4" applyFont="1" applyAlignment="1">
      <alignment horizontal="left" indent="1"/>
    </xf>
    <xf numFmtId="9" fontId="14" fillId="0" borderId="0" xfId="4" applyNumberFormat="1" applyFont="1"/>
    <xf numFmtId="0" fontId="14" fillId="0" borderId="0" xfId="4" applyFont="1" applyAlignment="1">
      <alignment horizontal="centerContinuous"/>
    </xf>
    <xf numFmtId="0" fontId="23" fillId="0" borderId="0" xfId="4" applyFont="1" applyAlignment="1">
      <alignment horizontal="centerContinuous"/>
    </xf>
    <xf numFmtId="0" fontId="16" fillId="0" borderId="0" xfId="4" applyFont="1" applyAlignment="1">
      <alignment horizontal="centerContinuous"/>
    </xf>
    <xf numFmtId="10" fontId="14" fillId="0" borderId="16" xfId="4" applyNumberFormat="1" applyFont="1" applyBorder="1"/>
    <xf numFmtId="0" fontId="14" fillId="0" borderId="10" xfId="4" applyFont="1" applyBorder="1"/>
    <xf numFmtId="41" fontId="14" fillId="0" borderId="11" xfId="4" applyNumberFormat="1" applyFont="1" applyBorder="1"/>
    <xf numFmtId="0" fontId="21" fillId="0" borderId="11" xfId="4" applyFont="1" applyBorder="1" applyAlignment="1">
      <alignment horizontal="center"/>
    </xf>
    <xf numFmtId="0" fontId="19" fillId="0" borderId="8" xfId="4" applyFont="1" applyBorder="1"/>
    <xf numFmtId="0" fontId="11" fillId="0" borderId="0" xfId="10" applyFont="1"/>
    <xf numFmtId="0" fontId="5" fillId="0" borderId="0" xfId="10"/>
    <xf numFmtId="43" fontId="5" fillId="0" borderId="0" xfId="11"/>
    <xf numFmtId="0" fontId="1" fillId="0" borderId="14" xfId="10" applyFont="1" applyBorder="1" applyAlignment="1">
      <alignment horizontal="center"/>
    </xf>
    <xf numFmtId="0" fontId="1" fillId="0" borderId="14" xfId="10" applyFont="1" applyBorder="1" applyAlignment="1">
      <alignment horizontal="center" wrapText="1"/>
    </xf>
    <xf numFmtId="0" fontId="5" fillId="0" borderId="0" xfId="10" applyAlignment="1">
      <alignment wrapText="1"/>
    </xf>
    <xf numFmtId="43" fontId="1" fillId="0" borderId="14" xfId="11" applyFont="1" applyBorder="1" applyAlignment="1">
      <alignment horizontal="center" wrapText="1"/>
    </xf>
    <xf numFmtId="164" fontId="5" fillId="0" borderId="0" xfId="11" applyNumberFormat="1"/>
    <xf numFmtId="164" fontId="5" fillId="5" borderId="0" xfId="11" applyNumberFormat="1" applyFill="1"/>
    <xf numFmtId="43" fontId="5" fillId="5" borderId="0" xfId="10" applyNumberFormat="1" applyFill="1"/>
    <xf numFmtId="43" fontId="0" fillId="0" borderId="0" xfId="11" applyFont="1"/>
    <xf numFmtId="0" fontId="2" fillId="5" borderId="18" xfId="10" applyFont="1" applyFill="1" applyBorder="1" applyAlignment="1">
      <alignment horizontal="left" vertical="center" indent="2"/>
    </xf>
    <xf numFmtId="0" fontId="5" fillId="5" borderId="15" xfId="10" applyFill="1" applyBorder="1" applyAlignment="1">
      <alignment horizontal="left" vertical="center" indent="2"/>
    </xf>
    <xf numFmtId="0" fontId="5" fillId="5" borderId="19" xfId="10" applyFill="1" applyBorder="1" applyAlignment="1">
      <alignment horizontal="left" vertical="center" indent="2"/>
    </xf>
    <xf numFmtId="0" fontId="24" fillId="7" borderId="0" xfId="4" applyFont="1" applyFill="1"/>
    <xf numFmtId="0" fontId="25" fillId="7" borderId="0" xfId="4" applyFont="1" applyFill="1" applyAlignment="1">
      <alignment horizontal="center"/>
    </xf>
    <xf numFmtId="0" fontId="27" fillId="7" borderId="0" xfId="12" applyFont="1" applyFill="1" applyAlignment="1">
      <alignment horizontal="center"/>
    </xf>
    <xf numFmtId="14" fontId="8" fillId="0" borderId="0" xfId="4" applyNumberFormat="1" applyAlignment="1">
      <alignment horizontal="center"/>
    </xf>
    <xf numFmtId="0" fontId="2" fillId="5" borderId="18" xfId="0" applyFont="1" applyFill="1" applyBorder="1" applyAlignment="1">
      <alignment horizontal="left" vertical="center" indent="1"/>
    </xf>
    <xf numFmtId="0" fontId="28" fillId="0" borderId="0" xfId="0" applyFont="1" applyAlignment="1">
      <alignment horizontal="left" indent="1"/>
    </xf>
    <xf numFmtId="167" fontId="0" fillId="0" borderId="4" xfId="0" applyNumberFormat="1" applyBorder="1" applyProtection="1">
      <protection locked="0"/>
    </xf>
    <xf numFmtId="8" fontId="9" fillId="3" borderId="5" xfId="5" applyNumberFormat="1" applyFont="1" applyFill="1" applyBorder="1"/>
    <xf numFmtId="164" fontId="5" fillId="5" borderId="15" xfId="3" applyNumberFormat="1" applyFont="1" applyFill="1" applyBorder="1"/>
    <xf numFmtId="164" fontId="5" fillId="5" borderId="7" xfId="3" applyNumberFormat="1" applyFont="1" applyFill="1" applyBorder="1"/>
    <xf numFmtId="44" fontId="0" fillId="0" borderId="0" xfId="2" applyFont="1"/>
    <xf numFmtId="165" fontId="0" fillId="0" borderId="0" xfId="2" applyNumberFormat="1" applyFont="1"/>
    <xf numFmtId="10" fontId="0" fillId="0" borderId="0" xfId="13" applyNumberFormat="1" applyFont="1"/>
    <xf numFmtId="10" fontId="14" fillId="5" borderId="0" xfId="13" applyNumberFormat="1" applyFont="1" applyFill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41" fontId="0" fillId="0" borderId="0" xfId="0" applyNumberFormat="1"/>
    <xf numFmtId="0" fontId="4" fillId="2" borderId="0" xfId="0" applyFont="1" applyFill="1" applyAlignment="1">
      <alignment horizontal="center"/>
    </xf>
  </cellXfs>
  <cellStyles count="14">
    <cellStyle name="Comma" xfId="1" builtinId="3"/>
    <cellStyle name="Comma 2" xfId="3" xr:uid="{00000000-0005-0000-0000-000001000000}"/>
    <cellStyle name="Comma 3" xfId="6" xr:uid="{00000000-0005-0000-0000-000002000000}"/>
    <cellStyle name="Comma 4" xfId="5" xr:uid="{00000000-0005-0000-0000-000003000000}"/>
    <cellStyle name="Comma 5" xfId="11" xr:uid="{F14AD20A-9379-40C7-B8F2-BD9E41D50CB2}"/>
    <cellStyle name="Currency" xfId="2" builtinId="4"/>
    <cellStyle name="Hyperlink 2" xfId="12" xr:uid="{83BF941F-7460-40E6-BD85-4F1BF8438349}"/>
    <cellStyle name="Normal" xfId="0" builtinId="0"/>
    <cellStyle name="Normal 2" xfId="4" xr:uid="{00000000-0005-0000-0000-000006000000}"/>
    <cellStyle name="Normal 3" xfId="7" xr:uid="{00000000-0005-0000-0000-000007000000}"/>
    <cellStyle name="Normal 4" xfId="10" xr:uid="{8815EFD4-4264-4029-A665-4CEB2063A54F}"/>
    <cellStyle name="Percent" xfId="13" builtinId="5"/>
    <cellStyle name="Percent 2" xfId="9" xr:uid="{00000000-0005-0000-0000-000008000000}"/>
    <cellStyle name="Percent 3" xfId="8" xr:uid="{00000000-0005-0000-0000-000009000000}"/>
  </cellStyles>
  <dxfs count="7">
    <dxf>
      <fill>
        <patternFill>
          <bgColor theme="6" tint="0.59996337778862885"/>
        </patternFill>
      </fill>
    </dxf>
    <dxf>
      <fill>
        <patternFill>
          <bgColor theme="1"/>
        </patternFill>
      </fill>
    </dxf>
    <dxf>
      <fill>
        <patternFill>
          <bgColor theme="6" tint="0.59996337778862885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FFFF99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[Class Exercise file - completed in class 8.21.2024.xlsx]Pvt Chrt!PivotTable2</c:name>
    <c:fmtId val="0"/>
  </c:pivotSource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'Pvt Chrt'!$B$1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'Pvt Chrt'!$A$2:$A$9</c:f>
              <c:strCache>
                <c:ptCount val="7"/>
                <c:pt idx="0">
                  <c:v>Apartments</c:v>
                </c:pt>
                <c:pt idx="1">
                  <c:v>Condos</c:v>
                </c:pt>
                <c:pt idx="2">
                  <c:v>Mall</c:v>
                </c:pt>
                <c:pt idx="3">
                  <c:v>Multi-Use</c:v>
                </c:pt>
                <c:pt idx="4">
                  <c:v>Office</c:v>
                </c:pt>
                <c:pt idx="5">
                  <c:v>Retail</c:v>
                </c:pt>
                <c:pt idx="6">
                  <c:v>Shopping Ctr</c:v>
                </c:pt>
              </c:strCache>
            </c:strRef>
          </c:cat>
          <c:val>
            <c:numRef>
              <c:f>'Pvt Chrt'!$B$2:$B$9</c:f>
              <c:numCache>
                <c:formatCode>General</c:formatCode>
                <c:ptCount val="7"/>
                <c:pt idx="0">
                  <c:v>378562857.14285713</c:v>
                </c:pt>
                <c:pt idx="1">
                  <c:v>68781750</c:v>
                </c:pt>
                <c:pt idx="2">
                  <c:v>35775000</c:v>
                </c:pt>
                <c:pt idx="3">
                  <c:v>523241666.66666669</c:v>
                </c:pt>
                <c:pt idx="4">
                  <c:v>114776063.63636364</c:v>
                </c:pt>
                <c:pt idx="5">
                  <c:v>76950000</c:v>
                </c:pt>
                <c:pt idx="6">
                  <c:v>34066428.571428567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7C-4115-AAD2-686BA2A419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54024927"/>
        <c:axId val="554039327"/>
      </c:barChart>
      <c:catAx>
        <c:axId val="5540249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4039327"/>
        <c:crosses val="autoZero"/>
        <c:auto val="1"/>
        <c:lblAlgn val="ctr"/>
        <c:lblOffset val="100"/>
        <c:noMultiLvlLbl val="0"/>
      </c:catAx>
      <c:valAx>
        <c:axId val="5540393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40249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476243</xdr:colOff>
      <xdr:row>0</xdr:row>
      <xdr:rowOff>153864</xdr:rowOff>
    </xdr:from>
    <xdr:to>
      <xdr:col>2</xdr:col>
      <xdr:colOff>681397</xdr:colOff>
      <xdr:row>1</xdr:row>
      <xdr:rowOff>73269</xdr:rowOff>
    </xdr:to>
    <xdr:sp macro="[0]!BestCase" textlink="">
      <xdr:nvSpPr>
        <xdr:cNvPr id="2" name="Arrow: Up 1">
          <a:extLst>
            <a:ext uri="{FF2B5EF4-FFF2-40B4-BE49-F238E27FC236}">
              <a16:creationId xmlns:a16="http://schemas.microsoft.com/office/drawing/2014/main" id="{DE138539-1866-134E-41C6-0C30CF7B8AA0}"/>
            </a:ext>
          </a:extLst>
        </xdr:cNvPr>
        <xdr:cNvSpPr/>
      </xdr:nvSpPr>
      <xdr:spPr>
        <a:xfrm>
          <a:off x="3597512" y="153864"/>
          <a:ext cx="205154" cy="183174"/>
        </a:xfrm>
        <a:prstGeom prst="up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7319</xdr:colOff>
      <xdr:row>0</xdr:row>
      <xdr:rowOff>146537</xdr:rowOff>
    </xdr:from>
    <xdr:to>
      <xdr:col>3</xdr:col>
      <xdr:colOff>285742</xdr:colOff>
      <xdr:row>1</xdr:row>
      <xdr:rowOff>80595</xdr:rowOff>
    </xdr:to>
    <xdr:sp macro="[0]!ExpectCase" textlink="">
      <xdr:nvSpPr>
        <xdr:cNvPr id="3" name="Arrow: Left-Right 2">
          <a:extLst>
            <a:ext uri="{FF2B5EF4-FFF2-40B4-BE49-F238E27FC236}">
              <a16:creationId xmlns:a16="http://schemas.microsoft.com/office/drawing/2014/main" id="{45722051-29C5-FC89-DCE0-FF771E1ECA59}"/>
            </a:ext>
          </a:extLst>
        </xdr:cNvPr>
        <xdr:cNvSpPr/>
      </xdr:nvSpPr>
      <xdr:spPr>
        <a:xfrm>
          <a:off x="3919896" y="146537"/>
          <a:ext cx="278423" cy="197827"/>
        </a:xfrm>
        <a:prstGeom prst="left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388320</xdr:colOff>
      <xdr:row>0</xdr:row>
      <xdr:rowOff>168521</xdr:rowOff>
    </xdr:from>
    <xdr:to>
      <xdr:col>3</xdr:col>
      <xdr:colOff>593474</xdr:colOff>
      <xdr:row>1</xdr:row>
      <xdr:rowOff>80598</xdr:rowOff>
    </xdr:to>
    <xdr:sp macro="[0]!WorstCase" textlink="">
      <xdr:nvSpPr>
        <xdr:cNvPr id="4" name="Arrow: Down 3">
          <a:extLst>
            <a:ext uri="{FF2B5EF4-FFF2-40B4-BE49-F238E27FC236}">
              <a16:creationId xmlns:a16="http://schemas.microsoft.com/office/drawing/2014/main" id="{CA6DAE32-AADC-C953-E63D-864F1E409FA6}"/>
            </a:ext>
          </a:extLst>
        </xdr:cNvPr>
        <xdr:cNvSpPr/>
      </xdr:nvSpPr>
      <xdr:spPr>
        <a:xfrm>
          <a:off x="4300897" y="168521"/>
          <a:ext cx="205154" cy="175846"/>
        </a:xfrm>
        <a:prstGeom prst="down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219075</xdr:colOff>
      <xdr:row>32</xdr:row>
      <xdr:rowOff>133350</xdr:rowOff>
    </xdr:from>
    <xdr:to>
      <xdr:col>4</xdr:col>
      <xdr:colOff>428625</xdr:colOff>
      <xdr:row>34</xdr:row>
      <xdr:rowOff>19050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>
          <a:spLocks noChangeArrowheads="1"/>
        </xdr:cNvSpPr>
      </xdr:nvSpPr>
      <xdr:spPr bwMode="auto">
        <a:xfrm>
          <a:off x="219075" y="4943475"/>
          <a:ext cx="2762250" cy="209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INSERT NEW ROWS ABOVE THIS ROW.</a:t>
          </a:r>
        </a:p>
      </xdr:txBody>
    </xdr:sp>
    <xdr:clientData/>
  </xdr:twoCellAnchor>
  <xdr:twoCellAnchor>
    <xdr:from>
      <xdr:col>2</xdr:col>
      <xdr:colOff>200025</xdr:colOff>
      <xdr:row>30</xdr:row>
      <xdr:rowOff>57150</xdr:rowOff>
    </xdr:from>
    <xdr:to>
      <xdr:col>2</xdr:col>
      <xdr:colOff>209550</xdr:colOff>
      <xdr:row>32</xdr:row>
      <xdr:rowOff>104775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>
          <a:spLocks noChangeShapeType="1"/>
        </xdr:cNvSpPr>
      </xdr:nvSpPr>
      <xdr:spPr bwMode="auto">
        <a:xfrm flipH="1" flipV="1">
          <a:off x="1419225" y="4629150"/>
          <a:ext cx="9525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11</xdr:col>
      <xdr:colOff>304800</xdr:colOff>
      <xdr:row>15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1B75CF9-C140-C607-BD63-479E20D1A59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Heidi Thompson" refreshedDate="45525.594828935187" createdVersion="8" refreshedVersion="8" minRefreshableVersion="3" recordCount="55" xr:uid="{AF46E3CE-BEE1-42A4-AF48-87AAC2FB5ABC}">
  <cacheSource type="worksheet">
    <worksheetSource ref="A8:O63" sheet="Project List"/>
  </cacheSource>
  <cacheFields count="15">
    <cacheField name="Last Name" numFmtId="43">
      <sharedItems/>
    </cacheField>
    <cacheField name="First Name" numFmtId="43">
      <sharedItems/>
    </cacheField>
    <cacheField name="Full Name" numFmtId="43">
      <sharedItems/>
    </cacheField>
    <cacheField name="Location" numFmtId="43">
      <sharedItems count="16">
        <s v="Baltimore, MD"/>
        <s v="Salisbury, MD"/>
        <s v="Towson, MD"/>
        <s v="Alexandria, VA"/>
        <s v="Washington, DC"/>
        <s v="Columbia, MD"/>
        <s v="Spokane, WA"/>
        <s v="Catonsville, MD"/>
        <s v="Richmond, VA"/>
        <s v="Annapolis, MD"/>
        <s v="White Marsh, MD"/>
        <s v="Hagerstown, MD"/>
        <s v="Ellicott City, MD"/>
        <s v="Frenchtown, MD"/>
        <s v="Seattle, WA"/>
        <s v="Philadelphia, PA"/>
      </sharedItems>
    </cacheField>
    <cacheField name="State" numFmtId="43">
      <sharedItems count="5">
        <s v="MD"/>
        <s v="VA"/>
        <s v="DC"/>
        <s v="WA"/>
        <s v="PA"/>
      </sharedItems>
    </cacheField>
    <cacheField name="Description" numFmtId="43">
      <sharedItems count="7">
        <s v="Apartments"/>
        <s v="Retail"/>
        <s v="Office"/>
        <s v="Multi-Use"/>
        <s v="Condos"/>
        <s v="Mall"/>
        <s v="Shopping Ctr"/>
      </sharedItems>
    </cacheField>
    <cacheField name="Type" numFmtId="43">
      <sharedItems/>
    </cacheField>
    <cacheField name="Start Date" numFmtId="14">
      <sharedItems containsSemiMixedTypes="0" containsNonDate="0" containsDate="1" containsString="0" minDate="1993-05-24T00:00:00" maxDate="2017-08-18T00:00:00"/>
    </cacheField>
    <cacheField name="FY" numFmtId="0">
      <sharedItems containsSemiMixedTypes="0" containsString="0" containsNumber="1" containsInteger="1" minValue="1993" maxValue="2017"/>
    </cacheField>
    <cacheField name="Review Month" numFmtId="0">
      <sharedItems containsSemiMixedTypes="0" containsString="0" containsNumber="1" containsInteger="1" minValue="1" maxValue="12"/>
    </cacheField>
    <cacheField name="Amt Funded" numFmtId="43">
      <sharedItems containsSemiMixedTypes="0" containsString="0" containsNumber="1" minValue="750000" maxValue="300000000"/>
    </cacheField>
    <cacheField name="Amt Borrow" numFmtId="43">
      <sharedItems containsSemiMixedTypes="0" containsString="0" containsNumber="1" minValue="375000" maxValue="150000000"/>
    </cacheField>
    <cacheField name="Total" numFmtId="43">
      <sharedItems containsSemiMixedTypes="0" containsString="0" containsNumber="1" minValue="1125000" maxValue="450000000"/>
    </cacheField>
    <cacheField name="Project Fee" numFmtId="43">
      <sharedItems containsSemiMixedTypes="0" containsString="0" containsNumber="1" containsInteger="1" minValue="300000" maxValue="13500000"/>
    </cacheField>
    <cacheField name="Insurance" numFmtId="43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5">
  <r>
    <s v="Smith"/>
    <s v="Sue"/>
    <s v="Sue Smith"/>
    <x v="0"/>
    <x v="0"/>
    <x v="0"/>
    <s v="RES"/>
    <d v="2005-12-14T00:00:00"/>
    <n v="2005"/>
    <n v="12"/>
    <n v="200000000"/>
    <n v="100000000"/>
    <n v="300000000"/>
    <n v="9000000"/>
    <s v="CT Gen"/>
  </r>
  <r>
    <s v="Rogers"/>
    <s v="Mark"/>
    <s v="Mark Rogers"/>
    <x v="1"/>
    <x v="0"/>
    <x v="1"/>
    <s v="COM"/>
    <d v="1998-08-08T00:00:00"/>
    <n v="1998"/>
    <n v="8"/>
    <n v="4500000"/>
    <n v="2250000"/>
    <n v="6750000"/>
    <n v="300000"/>
    <s v="ABC Co"/>
  </r>
  <r>
    <s v="Guthrie"/>
    <s v="Bernadette"/>
    <s v="Bernadette Guthrie"/>
    <x v="2"/>
    <x v="0"/>
    <x v="2"/>
    <s v="COM"/>
    <d v="1993-05-24T00:00:00"/>
    <n v="1993"/>
    <n v="5"/>
    <n v="18000000"/>
    <n v="9000000"/>
    <n v="27000000"/>
    <n v="810000"/>
    <s v="US Cap"/>
  </r>
  <r>
    <s v="Jones"/>
    <s v="Barbara"/>
    <s v="Barbara Jones"/>
    <x v="3"/>
    <x v="1"/>
    <x v="3"/>
    <s v="MULTI"/>
    <d v="2006-07-20T00:00:00"/>
    <n v="2006"/>
    <n v="7"/>
    <n v="2700000"/>
    <n v="1350000"/>
    <n v="4050000"/>
    <n v="300000"/>
    <s v="Pro-Surance"/>
  </r>
  <r>
    <s v="Smith"/>
    <s v="Roger"/>
    <s v="Roger Smith"/>
    <x v="4"/>
    <x v="2"/>
    <x v="3"/>
    <s v="MULTI"/>
    <d v="2005-10-04T00:00:00"/>
    <n v="2005"/>
    <n v="10"/>
    <n v="300000000"/>
    <n v="150000000"/>
    <n v="450000000"/>
    <n v="13500000"/>
    <s v="CT Gen"/>
  </r>
  <r>
    <s v="Timken"/>
    <s v="Priscilla"/>
    <s v="Priscilla Timken"/>
    <x v="1"/>
    <x v="0"/>
    <x v="2"/>
    <s v="COM"/>
    <d v="1996-02-24T00:00:00"/>
    <n v="1996"/>
    <n v="2"/>
    <n v="4000000"/>
    <n v="2000000"/>
    <n v="6000000"/>
    <n v="300000"/>
    <s v="ABC Co"/>
  </r>
  <r>
    <s v="Cole"/>
    <s v="Ric"/>
    <s v="Ric Cole"/>
    <x v="4"/>
    <x v="2"/>
    <x v="2"/>
    <s v="COM"/>
    <d v="2017-03-13T00:00:00"/>
    <n v="2017"/>
    <n v="3"/>
    <n v="6000000"/>
    <n v="3000000"/>
    <n v="9000000"/>
    <n v="300000"/>
    <s v="ABC Co"/>
  </r>
  <r>
    <s v="Wafer"/>
    <s v="Pat"/>
    <s v="Pat Wafer"/>
    <x v="5"/>
    <x v="0"/>
    <x v="4"/>
    <s v="RES"/>
    <d v="2005-07-11T00:00:00"/>
    <n v="2005"/>
    <n v="7"/>
    <n v="5000000"/>
    <n v="2500000"/>
    <n v="7500000"/>
    <n v="300000"/>
    <s v="ABC Co"/>
  </r>
  <r>
    <s v="Strang"/>
    <s v="Becky"/>
    <s v="Becky Strang"/>
    <x v="0"/>
    <x v="0"/>
    <x v="1"/>
    <s v="COM"/>
    <d v="2000-10-30T00:00:00"/>
    <n v="2000"/>
    <n v="10"/>
    <n v="11000000"/>
    <n v="5500000"/>
    <n v="16500000"/>
    <n v="495000"/>
    <s v="Aetna "/>
  </r>
  <r>
    <s v="Peregoy"/>
    <s v="Bob"/>
    <s v="Bob Peregoy"/>
    <x v="6"/>
    <x v="3"/>
    <x v="4"/>
    <s v="RES"/>
    <d v="2000-04-25T00:00:00"/>
    <n v="2000"/>
    <n v="4"/>
    <n v="17500000"/>
    <n v="8750000"/>
    <n v="26250000"/>
    <n v="787500"/>
    <s v="US Cap"/>
  </r>
  <r>
    <s v="Wolfe"/>
    <s v="Marge"/>
    <s v="Marge Wolfe"/>
    <x v="0"/>
    <x v="0"/>
    <x v="3"/>
    <s v="MULTI"/>
    <d v="2010-01-17T00:00:00"/>
    <n v="2010"/>
    <n v="1"/>
    <n v="4000000"/>
    <n v="2000000"/>
    <n v="6000000"/>
    <n v="300000"/>
    <s v="ABC Co"/>
  </r>
  <r>
    <s v="Thompson"/>
    <s v="Kristin"/>
    <s v="Kristin Thompson"/>
    <x v="4"/>
    <x v="2"/>
    <x v="2"/>
    <s v="COM"/>
    <d v="2011-01-04T00:00:00"/>
    <n v="2011"/>
    <n v="1"/>
    <n v="1800000"/>
    <n v="900000"/>
    <n v="2700000"/>
    <n v="300000"/>
    <s v="Pro-Surance"/>
  </r>
  <r>
    <s v="Hodge"/>
    <s v="Alan"/>
    <s v="Alan Hodge"/>
    <x v="0"/>
    <x v="0"/>
    <x v="1"/>
    <s v="COM"/>
    <d v="2015-06-19T00:00:00"/>
    <n v="2015"/>
    <n v="6"/>
    <n v="4500000"/>
    <n v="2250000"/>
    <n v="6750000"/>
    <n v="300000"/>
    <s v="ABC Co"/>
  </r>
  <r>
    <s v="Thompson"/>
    <s v="Carolyn"/>
    <s v="Carolyn Thompson"/>
    <x v="7"/>
    <x v="0"/>
    <x v="1"/>
    <s v="COM"/>
    <d v="2012-05-17T00:00:00"/>
    <n v="2012"/>
    <n v="5"/>
    <n v="15000000"/>
    <n v="7500000"/>
    <n v="22500000"/>
    <n v="675000"/>
    <s v="Aetna "/>
  </r>
  <r>
    <s v="Thompson"/>
    <s v="Jim"/>
    <s v="Jim Thompson"/>
    <x v="8"/>
    <x v="1"/>
    <x v="5"/>
    <s v="COM"/>
    <d v="2016-08-27T00:00:00"/>
    <n v="2016"/>
    <n v="8"/>
    <n v="4200000"/>
    <n v="2100000"/>
    <n v="6300000"/>
    <n v="300000"/>
    <s v="ABC Co"/>
  </r>
  <r>
    <s v="Morgan"/>
    <s v="Bill"/>
    <s v="Bill Morgan"/>
    <x v="1"/>
    <x v="0"/>
    <x v="5"/>
    <s v="COM"/>
    <d v="1999-08-31T00:00:00"/>
    <n v="1999"/>
    <n v="8"/>
    <n v="16000000"/>
    <n v="8000000"/>
    <n v="24000000"/>
    <n v="720000"/>
    <s v="Aetna "/>
  </r>
  <r>
    <s v="Costner"/>
    <s v="Liam"/>
    <s v="Liam Costner"/>
    <x v="0"/>
    <x v="0"/>
    <x v="3"/>
    <s v="MULTI"/>
    <d v="2010-11-30T00:00:00"/>
    <n v="2010"/>
    <n v="11"/>
    <n v="9000000"/>
    <n v="4500000"/>
    <n v="13500000"/>
    <n v="405000"/>
    <s v="Aetna "/>
  </r>
  <r>
    <s v="Smith"/>
    <s v="Rhonda"/>
    <s v="Rhonda Smith"/>
    <x v="5"/>
    <x v="0"/>
    <x v="3"/>
    <s v="MULTI"/>
    <d v="2001-02-08T00:00:00"/>
    <n v="2001"/>
    <n v="2"/>
    <n v="1500000"/>
    <n v="750000"/>
    <n v="2250000"/>
    <n v="300000"/>
    <s v="Pro-Surance"/>
  </r>
  <r>
    <s v="Armitage"/>
    <s v="Peggy"/>
    <s v="Peggy Armitage"/>
    <x v="5"/>
    <x v="0"/>
    <x v="3"/>
    <s v="MULTI"/>
    <d v="2006-09-24T00:00:00"/>
    <n v="2006"/>
    <n v="9"/>
    <n v="12000000"/>
    <n v="6000000"/>
    <n v="18000000"/>
    <n v="540000"/>
    <s v="Aetna "/>
  </r>
  <r>
    <s v="DeMoss"/>
    <s v="Gail"/>
    <s v="Gail DeMoss"/>
    <x v="9"/>
    <x v="0"/>
    <x v="2"/>
    <s v="COM"/>
    <d v="2015-07-13T00:00:00"/>
    <n v="2015"/>
    <n v="7"/>
    <n v="750000"/>
    <n v="375000"/>
    <n v="1125000"/>
    <n v="300000"/>
    <s v="Pro-Surance"/>
  </r>
  <r>
    <s v="Gorney"/>
    <s v="Jeff"/>
    <s v="Jeff Gorney"/>
    <x v="10"/>
    <x v="0"/>
    <x v="0"/>
    <s v="RES"/>
    <d v="2000-03-28T00:00:00"/>
    <n v="2000"/>
    <n v="3"/>
    <n v="3500000"/>
    <n v="1750000"/>
    <n v="5250000"/>
    <n v="300000"/>
    <s v="ABC Co"/>
  </r>
  <r>
    <s v="Thomas"/>
    <s v="Grant"/>
    <s v="Grant Thomas"/>
    <x v="3"/>
    <x v="1"/>
    <x v="0"/>
    <s v="RES"/>
    <d v="2010-08-01T00:00:00"/>
    <n v="2010"/>
    <n v="8"/>
    <n v="1500000"/>
    <n v="750000"/>
    <n v="2250000"/>
    <n v="300000"/>
    <s v="Pro-Surance"/>
  </r>
  <r>
    <s v="Williams"/>
    <s v="Ashley"/>
    <s v="Ashley Williams"/>
    <x v="11"/>
    <x v="0"/>
    <x v="0"/>
    <s v="RES"/>
    <d v="2012-06-14T00:00:00"/>
    <n v="2012"/>
    <n v="6"/>
    <n v="10000000"/>
    <n v="5000000"/>
    <n v="15000000"/>
    <n v="450000"/>
    <s v="Aetna "/>
  </r>
  <r>
    <s v="Jones"/>
    <s v="Marsha"/>
    <s v="Marsha Jones"/>
    <x v="5"/>
    <x v="0"/>
    <x v="2"/>
    <s v="COM"/>
    <d v="2009-11-09T00:00:00"/>
    <n v="2009"/>
    <n v="11"/>
    <n v="1800000"/>
    <n v="900000"/>
    <n v="2700000"/>
    <n v="300000"/>
    <s v="Pro-Surance"/>
  </r>
  <r>
    <s v="Baker"/>
    <s v="Rick"/>
    <s v="Rick Baker"/>
    <x v="12"/>
    <x v="0"/>
    <x v="4"/>
    <s v="RES"/>
    <d v="2006-10-31T00:00:00"/>
    <n v="2006"/>
    <n v="10"/>
    <n v="3500000"/>
    <n v="1750000"/>
    <n v="5250000"/>
    <n v="300000"/>
    <s v="ABC Co"/>
  </r>
  <r>
    <s v="Allen"/>
    <s v="Jack"/>
    <s v="Jack Allen"/>
    <x v="0"/>
    <x v="0"/>
    <x v="4"/>
    <s v="RES"/>
    <d v="2003-02-14T00:00:00"/>
    <n v="2003"/>
    <n v="2"/>
    <n v="4500000"/>
    <n v="2250000"/>
    <n v="6750000"/>
    <n v="300000"/>
    <s v="ABC Co"/>
  </r>
  <r>
    <s v="Baker"/>
    <s v="Jane"/>
    <s v="Jane Baker"/>
    <x v="12"/>
    <x v="0"/>
    <x v="5"/>
    <s v="COM"/>
    <d v="2014-08-21T00:00:00"/>
    <n v="2014"/>
    <n v="8"/>
    <n v="3650000"/>
    <n v="1825000"/>
    <n v="5475000"/>
    <n v="300000"/>
    <s v="ABC Co"/>
  </r>
  <r>
    <s v="Hodge"/>
    <s v="Jennifer"/>
    <s v="Jennifer Hodge"/>
    <x v="0"/>
    <x v="0"/>
    <x v="3"/>
    <s v="MULTI"/>
    <d v="2015-11-30T00:00:00"/>
    <n v="2015"/>
    <n v="11"/>
    <n v="2000000"/>
    <n v="1000000"/>
    <n v="3000000"/>
    <n v="300000"/>
    <s v="Pro-Surance"/>
  </r>
  <r>
    <s v="Steis"/>
    <s v="Drew"/>
    <s v="Drew Steis"/>
    <x v="13"/>
    <x v="0"/>
    <x v="3"/>
    <s v="MULTI"/>
    <d v="2012-09-17T00:00:00"/>
    <n v="2012"/>
    <n v="9"/>
    <n v="1800000"/>
    <n v="900000"/>
    <n v="2700000"/>
    <n v="300000"/>
    <s v="Pro-Surance"/>
  </r>
  <r>
    <s v="Hagan"/>
    <s v="Paul"/>
    <s v="Paul Hagan"/>
    <x v="0"/>
    <x v="0"/>
    <x v="2"/>
    <s v="COM"/>
    <d v="2015-05-19T00:00:00"/>
    <n v="2015"/>
    <n v="5"/>
    <n v="2200000"/>
    <n v="1100000"/>
    <n v="3300000"/>
    <n v="300000"/>
    <s v="Pro-Surance"/>
  </r>
  <r>
    <s v="Hagan"/>
    <s v="Sheila"/>
    <s v="Sheila Hagan"/>
    <x v="0"/>
    <x v="0"/>
    <x v="6"/>
    <s v="COM"/>
    <d v="2017-08-17T00:00:00"/>
    <n v="2017"/>
    <n v="8"/>
    <n v="7800000"/>
    <n v="3900000"/>
    <n v="11700000"/>
    <n v="351000"/>
    <s v="Aetna "/>
  </r>
  <r>
    <s v="Bozman"/>
    <s v="Mary Ann"/>
    <s v="Mary Ann Bozman"/>
    <x v="13"/>
    <x v="0"/>
    <x v="2"/>
    <s v="COM"/>
    <d v="2013-03-06T00:00:00"/>
    <n v="2013"/>
    <n v="3"/>
    <n v="1750000"/>
    <n v="875000"/>
    <n v="2625000"/>
    <n v="300000"/>
    <s v="Pro-Surance"/>
  </r>
  <r>
    <s v="Bender"/>
    <s v="Drew"/>
    <s v="Drew Bender"/>
    <x v="14"/>
    <x v="3"/>
    <x v="6"/>
    <s v="COM"/>
    <d v="2011-08-29T00:00:00"/>
    <n v="2011"/>
    <n v="8"/>
    <n v="2163333.3333333298"/>
    <n v="1081666.6666666649"/>
    <n v="3244999.9999999944"/>
    <n v="300000"/>
    <s v="Pro-Surance"/>
  </r>
  <r>
    <s v="Hart"/>
    <s v="Ben"/>
    <s v="Ben Hart"/>
    <x v="14"/>
    <x v="3"/>
    <x v="6"/>
    <s v="COM"/>
    <d v="2014-08-31T00:00:00"/>
    <n v="2014"/>
    <n v="8"/>
    <n v="2057619.0476190499"/>
    <n v="1028809.523809525"/>
    <n v="3086428.5714285746"/>
    <n v="300000"/>
    <s v="Pro-Surance"/>
  </r>
  <r>
    <s v="Morgan"/>
    <s v="Mindy"/>
    <s v="Mindy Morgan"/>
    <x v="14"/>
    <x v="3"/>
    <x v="4"/>
    <s v="RES"/>
    <d v="2010-03-03T00:00:00"/>
    <n v="2010"/>
    <n v="3"/>
    <n v="3254500"/>
    <n v="1627250"/>
    <n v="4881750"/>
    <n v="300000"/>
    <s v="Pro-Surance"/>
  </r>
  <r>
    <s v="Bruneau"/>
    <s v="Dan"/>
    <s v="Dan Bruneau"/>
    <x v="0"/>
    <x v="0"/>
    <x v="6"/>
    <s v="COM"/>
    <d v="2008-05-08T00:00:00"/>
    <n v="2008"/>
    <n v="5"/>
    <n v="10690000"/>
    <n v="5345000"/>
    <n v="16035000"/>
    <n v="481050"/>
    <s v="Aetna "/>
  </r>
  <r>
    <s v="Day"/>
    <s v="Katie"/>
    <s v="Katie Day"/>
    <x v="15"/>
    <x v="4"/>
    <x v="0"/>
    <s v="RES"/>
    <d v="2016-07-02T00:00:00"/>
    <n v="2016"/>
    <n v="7"/>
    <n v="1740476.1904761901"/>
    <n v="870238.09523809503"/>
    <n v="2610714.285714285"/>
    <n v="300000"/>
    <s v="Pro-Surance"/>
  </r>
  <r>
    <s v="Day"/>
    <s v="Phil"/>
    <s v="Phil Day"/>
    <x v="14"/>
    <x v="3"/>
    <x v="0"/>
    <s v="RES"/>
    <d v="2015-08-14T00:00:00"/>
    <n v="2015"/>
    <n v="8"/>
    <n v="1634761.90476191"/>
    <n v="817380.95238095499"/>
    <n v="2452142.8571428647"/>
    <n v="300000"/>
    <s v="Pro-Surance"/>
  </r>
  <r>
    <s v="Thompson"/>
    <s v="Greg"/>
    <s v="Greg Thompson"/>
    <x v="11"/>
    <x v="0"/>
    <x v="3"/>
    <s v="MULTI"/>
    <d v="2005-10-03T00:00:00"/>
    <n v="2005"/>
    <n v="10"/>
    <n v="1500000"/>
    <n v="750000"/>
    <n v="2250000"/>
    <n v="300000"/>
    <s v="Pro-Surance"/>
  </r>
  <r>
    <s v="Stratton"/>
    <s v="Holly"/>
    <s v="Holly Stratton"/>
    <x v="9"/>
    <x v="0"/>
    <x v="2"/>
    <s v="COM"/>
    <d v="2015-02-23T00:00:00"/>
    <n v="2015"/>
    <n v="2"/>
    <n v="11000000"/>
    <n v="5500000"/>
    <n v="16500000"/>
    <n v="495000"/>
    <s v="Aetna "/>
  </r>
  <r>
    <s v="Faass"/>
    <s v="Joe"/>
    <s v="Joe Faass"/>
    <x v="5"/>
    <x v="0"/>
    <x v="2"/>
    <s v="COM"/>
    <d v="2017-03-27T00:00:00"/>
    <n v="2017"/>
    <n v="3"/>
    <n v="7500000"/>
    <n v="3750000"/>
    <n v="11250000"/>
    <n v="337500"/>
    <s v="Aetna "/>
  </r>
  <r>
    <s v="Faass"/>
    <s v="Wendy"/>
    <s v="Wendy Faass"/>
    <x v="5"/>
    <x v="0"/>
    <x v="2"/>
    <s v="COM"/>
    <d v="2007-03-27T00:00:00"/>
    <n v="2007"/>
    <n v="3"/>
    <n v="4000000"/>
    <n v="2000000"/>
    <n v="6000000"/>
    <n v="300000"/>
    <s v="ABC Co"/>
  </r>
  <r>
    <s v="Hershner"/>
    <s v="Beth"/>
    <s v="Beth Hershner"/>
    <x v="3"/>
    <x v="1"/>
    <x v="1"/>
    <s v="COM"/>
    <d v="2016-01-27T00:00:00"/>
    <n v="2016"/>
    <n v="1"/>
    <n v="11800000"/>
    <n v="5900000"/>
    <n v="17700000"/>
    <n v="531000"/>
    <s v="Aetna "/>
  </r>
  <r>
    <s v="Carter"/>
    <s v="David"/>
    <s v="David Carter"/>
    <x v="14"/>
    <x v="3"/>
    <x v="1"/>
    <s v="COM"/>
    <d v="2009-06-18T00:00:00"/>
    <n v="2009"/>
    <n v="6"/>
    <n v="4500000"/>
    <n v="2250000"/>
    <n v="6750000"/>
    <n v="300000"/>
    <s v="ABC Co"/>
  </r>
  <r>
    <s v="Myers"/>
    <s v="Tim"/>
    <s v="Tim Myers"/>
    <x v="5"/>
    <x v="0"/>
    <x v="0"/>
    <s v="RES"/>
    <d v="2008-11-03T00:00:00"/>
    <n v="2008"/>
    <n v="11"/>
    <n v="16000000"/>
    <n v="8000000"/>
    <n v="24000000"/>
    <n v="720000"/>
    <s v="Aetna "/>
  </r>
  <r>
    <s v="Bozman"/>
    <s v="Michael"/>
    <s v="Michael Bozman"/>
    <x v="13"/>
    <x v="0"/>
    <x v="0"/>
    <s v="RES"/>
    <d v="2017-05-31T00:00:00"/>
    <n v="2017"/>
    <n v="5"/>
    <n v="4200000"/>
    <n v="2100000"/>
    <n v="6300000"/>
    <n v="300000"/>
    <s v="ABC Co"/>
  </r>
  <r>
    <s v="Heland"/>
    <s v="Vicki"/>
    <s v="Vicki Heland"/>
    <x v="8"/>
    <x v="1"/>
    <x v="0"/>
    <s v="RES"/>
    <d v="2014-09-03T00:00:00"/>
    <n v="2014"/>
    <n v="9"/>
    <n v="6000000"/>
    <n v="3000000"/>
    <n v="9000000"/>
    <n v="300000"/>
    <s v="ABC Co"/>
  </r>
  <r>
    <s v="Tilghman"/>
    <s v="Andrew"/>
    <s v="Andrew Tilghman"/>
    <x v="1"/>
    <x v="0"/>
    <x v="4"/>
    <s v="RES"/>
    <d v="2015-11-30T00:00:00"/>
    <n v="2015"/>
    <n v="11"/>
    <n v="9000000"/>
    <n v="4500000"/>
    <n v="13500000"/>
    <n v="405000"/>
    <s v="Aetna "/>
  </r>
  <r>
    <s v="Myers"/>
    <s v="Vicki"/>
    <s v="Vicki Myers"/>
    <x v="5"/>
    <x v="0"/>
    <x v="4"/>
    <s v="RES"/>
    <d v="2012-07-31T00:00:00"/>
    <n v="2012"/>
    <n v="7"/>
    <n v="3100000"/>
    <n v="1550000"/>
    <n v="4650000"/>
    <n v="300000"/>
    <s v="Pro-Surance"/>
  </r>
  <r>
    <s v="Homan"/>
    <s v="Gary"/>
    <s v="Gary Homan"/>
    <x v="13"/>
    <x v="0"/>
    <x v="2"/>
    <s v="COM"/>
    <d v="2003-03-11T00:00:00"/>
    <n v="2003"/>
    <n v="3"/>
    <n v="5790000"/>
    <n v="2895000"/>
    <n v="8685000"/>
    <n v="300000"/>
    <s v="ABC Co"/>
  </r>
  <r>
    <s v="Roepe"/>
    <s v="Ken"/>
    <s v="Ken Roepe"/>
    <x v="14"/>
    <x v="3"/>
    <x v="3"/>
    <s v="MULTI"/>
    <d v="2015-05-08T00:00:00"/>
    <n v="2015"/>
    <n v="5"/>
    <n v="5337777.7777778003"/>
    <n v="2668888.8888889002"/>
    <n v="8006666.6666667005"/>
    <n v="300000"/>
    <s v="ABC Co"/>
  </r>
  <r>
    <s v="Kessler"/>
    <s v="Marsha"/>
    <s v="Marsha Kessler"/>
    <x v="5"/>
    <x v="0"/>
    <x v="0"/>
    <s v="RES"/>
    <d v="2012-03-31T00:00:00"/>
    <n v="2012"/>
    <n v="3"/>
    <n v="7800000"/>
    <n v="3900000"/>
    <n v="11700000"/>
    <n v="351000"/>
    <s v="Aetna "/>
  </r>
  <r>
    <s v="DeLorenzo"/>
    <s v="Pat"/>
    <s v="Pat DeLorenzo"/>
    <x v="5"/>
    <x v="0"/>
    <x v="2"/>
    <s v="COM"/>
    <d v="2005-07-19T00:00:00"/>
    <n v="2005"/>
    <n v="7"/>
    <n v="4717575.7575757597"/>
    <n v="2358787.8787878798"/>
    <n v="7076363.6363636395"/>
    <n v="300000"/>
    <s v="ABC Co"/>
  </r>
  <r>
    <s v="Carter"/>
    <s v="Lisa"/>
    <s v="Lisa Carter"/>
    <x v="10"/>
    <x v="0"/>
    <x v="2"/>
    <s v="COM"/>
    <d v="2006-12-08T00:00:00"/>
    <n v="2006"/>
    <n v="12"/>
    <n v="7209800"/>
    <n v="3604900"/>
    <n v="10814700"/>
    <n v="324441"/>
    <s v="Aetna "/>
  </r>
  <r>
    <s v="Moore"/>
    <s v="David"/>
    <s v="David Moore"/>
    <x v="12"/>
    <x v="0"/>
    <x v="3"/>
    <s v="MULTI"/>
    <d v="2014-04-25T00:00:00"/>
    <n v="2014"/>
    <n v="4"/>
    <n v="8990000"/>
    <n v="4495000"/>
    <n v="13485000"/>
    <n v="404550"/>
    <s v="Aetna 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3984290-9850-4942-A299-937C9F69917F}" name="PivotTable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25" firstHeaderRow="1" firstDataRow="1" firstDataCol="1"/>
  <pivotFields count="15">
    <pivotField showAll="0"/>
    <pivotField showAll="0"/>
    <pivotField showAll="0"/>
    <pivotField axis="axisRow" showAll="0">
      <items count="17">
        <item x="3"/>
        <item x="9"/>
        <item x="0"/>
        <item x="7"/>
        <item x="5"/>
        <item x="12"/>
        <item x="13"/>
        <item x="11"/>
        <item x="15"/>
        <item x="8"/>
        <item x="1"/>
        <item x="14"/>
        <item x="6"/>
        <item x="2"/>
        <item x="4"/>
        <item x="10"/>
        <item t="default"/>
      </items>
    </pivotField>
    <pivotField axis="axisRow" showAll="0">
      <items count="6">
        <item x="2"/>
        <item x="0"/>
        <item x="4"/>
        <item x="1"/>
        <item x="3"/>
        <item t="default"/>
      </items>
    </pivotField>
    <pivotField showAll="0"/>
    <pivotField showAll="0"/>
    <pivotField numFmtId="14" showAll="0"/>
    <pivotField showAll="0"/>
    <pivotField showAll="0"/>
    <pivotField numFmtId="43" showAll="0"/>
    <pivotField numFmtId="43" showAll="0"/>
    <pivotField dataField="1" numFmtId="43" showAll="0"/>
    <pivotField numFmtId="43" showAll="0"/>
    <pivotField showAll="0"/>
  </pivotFields>
  <rowFields count="2">
    <field x="4"/>
    <field x="3"/>
  </rowFields>
  <rowItems count="22">
    <i>
      <x/>
    </i>
    <i r="1">
      <x v="14"/>
    </i>
    <i>
      <x v="1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10"/>
    </i>
    <i r="1">
      <x v="13"/>
    </i>
    <i r="1">
      <x v="15"/>
    </i>
    <i>
      <x v="2"/>
    </i>
    <i r="1">
      <x v="8"/>
    </i>
    <i>
      <x v="3"/>
    </i>
    <i r="1">
      <x/>
    </i>
    <i r="1">
      <x v="9"/>
    </i>
    <i>
      <x v="4"/>
    </i>
    <i r="1">
      <x v="11"/>
    </i>
    <i r="1">
      <x v="12"/>
    </i>
    <i t="grand">
      <x/>
    </i>
  </rowItems>
  <colItems count="1">
    <i/>
  </colItems>
  <dataFields count="1">
    <dataField name="Total Value" fld="12" baseField="4" baseItem="0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2B25FE2-1785-4C18-9F72-274DB8374FE4}" name="PivotTable2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chartFormat="1">
  <location ref="A1:B9" firstHeaderRow="1" firstDataRow="1" firstDataCol="1"/>
  <pivotFields count="15">
    <pivotField showAll="0"/>
    <pivotField showAll="0"/>
    <pivotField showAll="0"/>
    <pivotField showAll="0"/>
    <pivotField showAll="0"/>
    <pivotField axis="axisRow" showAll="0">
      <items count="8">
        <item x="0"/>
        <item x="4"/>
        <item x="5"/>
        <item x="3"/>
        <item x="2"/>
        <item x="1"/>
        <item x="6"/>
        <item t="default"/>
      </items>
    </pivotField>
    <pivotField showAll="0"/>
    <pivotField numFmtId="14" showAll="0"/>
    <pivotField showAll="0"/>
    <pivotField showAll="0"/>
    <pivotField numFmtId="43" showAll="0"/>
    <pivotField numFmtId="43" showAll="0"/>
    <pivotField dataField="1" numFmtId="43" showAll="0"/>
    <pivotField numFmtId="43" showAll="0"/>
    <pivotField showAll="0"/>
  </pivotFields>
  <rowFields count="1">
    <field x="5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Items count="1">
    <i/>
  </colItems>
  <dataFields count="1">
    <dataField name="Sum of Total" fld="12" baseField="0" baseItem="0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hpthompco@aol.com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2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2F905-1A20-4656-9929-F9AC56053132}">
  <sheetPr codeName="Sheet12"/>
  <dimension ref="B2:E7"/>
  <sheetViews>
    <sheetView tabSelected="1" zoomScale="340" zoomScaleNormal="340" workbookViewId="0">
      <selection activeCell="B18" sqref="B18"/>
    </sheetView>
  </sheetViews>
  <sheetFormatPr defaultColWidth="8.81640625" defaultRowHeight="12.5" x14ac:dyDescent="0.25"/>
  <cols>
    <col min="1" max="1" width="9.81640625" style="33" customWidth="1"/>
    <col min="2" max="2" width="18.7265625" style="33" customWidth="1"/>
    <col min="3" max="3" width="19.1796875" style="33" customWidth="1"/>
    <col min="4" max="16384" width="8.81640625" style="33"/>
  </cols>
  <sheetData>
    <row r="2" spans="2:5" ht="14.5" x14ac:dyDescent="0.35">
      <c r="B2" s="192"/>
      <c r="C2" s="192"/>
      <c r="D2" s="192"/>
      <c r="E2" s="192"/>
    </row>
    <row r="3" spans="2:5" ht="26" x14ac:dyDescent="0.6">
      <c r="B3" s="192"/>
      <c r="C3" s="193" t="s">
        <v>295</v>
      </c>
      <c r="D3" s="192"/>
      <c r="E3" s="192"/>
    </row>
    <row r="4" spans="2:5" ht="19.899999999999999" customHeight="1" x14ac:dyDescent="0.6">
      <c r="B4" s="192"/>
      <c r="C4" s="193"/>
      <c r="D4" s="192"/>
      <c r="E4" s="192"/>
    </row>
    <row r="5" spans="2:5" ht="26" x14ac:dyDescent="0.6">
      <c r="B5" s="192"/>
      <c r="C5" s="193" t="s">
        <v>296</v>
      </c>
      <c r="D5" s="192"/>
      <c r="E5" s="192"/>
    </row>
    <row r="6" spans="2:5" ht="26" x14ac:dyDescent="0.6">
      <c r="B6" s="192"/>
      <c r="C6" s="194" t="s">
        <v>297</v>
      </c>
      <c r="D6" s="192"/>
      <c r="E6" s="192"/>
    </row>
    <row r="7" spans="2:5" ht="21.65" customHeight="1" x14ac:dyDescent="0.35">
      <c r="B7" s="192"/>
      <c r="C7" s="192"/>
      <c r="D7" s="192"/>
      <c r="E7" s="192"/>
    </row>
  </sheetData>
  <hyperlinks>
    <hyperlink ref="C6" r:id="rId1" xr:uid="{6182EAAA-35E0-4FB1-BEB4-3D87CA9B7F64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4F3B5-EB84-4B5B-B388-B319D5EB46DE}">
  <sheetPr codeName="Sheet16"/>
  <dimension ref="A1:B9"/>
  <sheetViews>
    <sheetView zoomScale="145" zoomScaleNormal="145" workbookViewId="0"/>
  </sheetViews>
  <sheetFormatPr defaultRowHeight="14.5" x14ac:dyDescent="0.35"/>
  <cols>
    <col min="1" max="1" width="13.1796875" bestFit="1" customWidth="1"/>
    <col min="2" max="2" width="12" bestFit="1" customWidth="1"/>
  </cols>
  <sheetData>
    <row r="1" spans="1:2" x14ac:dyDescent="0.35">
      <c r="A1" s="206" t="s">
        <v>306</v>
      </c>
      <c r="B1" t="s">
        <v>311</v>
      </c>
    </row>
    <row r="2" spans="1:2" x14ac:dyDescent="0.35">
      <c r="A2" s="207" t="s">
        <v>97</v>
      </c>
      <c r="B2" s="208">
        <v>378562857.14285713</v>
      </c>
    </row>
    <row r="3" spans="1:2" x14ac:dyDescent="0.35">
      <c r="A3" s="207" t="s">
        <v>117</v>
      </c>
      <c r="B3" s="208">
        <v>68781750</v>
      </c>
    </row>
    <row r="4" spans="1:2" x14ac:dyDescent="0.35">
      <c r="A4" s="207" t="s">
        <v>133</v>
      </c>
      <c r="B4" s="208">
        <v>35775000</v>
      </c>
    </row>
    <row r="5" spans="1:2" x14ac:dyDescent="0.35">
      <c r="A5" s="207" t="s">
        <v>108</v>
      </c>
      <c r="B5" s="208">
        <v>523241666.66666669</v>
      </c>
    </row>
    <row r="6" spans="1:2" x14ac:dyDescent="0.35">
      <c r="A6" s="207" t="s">
        <v>51</v>
      </c>
      <c r="B6" s="208">
        <v>114776063.63636364</v>
      </c>
    </row>
    <row r="7" spans="1:2" x14ac:dyDescent="0.35">
      <c r="A7" s="207" t="s">
        <v>101</v>
      </c>
      <c r="B7" s="208">
        <v>76950000</v>
      </c>
    </row>
    <row r="8" spans="1:2" x14ac:dyDescent="0.35">
      <c r="A8" s="207" t="s">
        <v>164</v>
      </c>
      <c r="B8" s="208">
        <v>34066428.571428567</v>
      </c>
    </row>
    <row r="9" spans="1:2" x14ac:dyDescent="0.35">
      <c r="A9" s="207" t="s">
        <v>65</v>
      </c>
      <c r="B9" s="208">
        <v>1232153766.0173161</v>
      </c>
    </row>
  </sheetData>
  <pageMargins left="0.7" right="0.7" top="0.75" bottom="0.75" header="0.3" footer="0.3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A1:O63"/>
  <sheetViews>
    <sheetView zoomScale="150" zoomScaleNormal="15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defaultColWidth="9.1796875" defaultRowHeight="14.5" x14ac:dyDescent="0.35"/>
  <cols>
    <col min="1" max="1" width="12.26953125" style="38" bestFit="1" customWidth="1"/>
    <col min="2" max="2" width="11.81640625" style="38" bestFit="1" customWidth="1"/>
    <col min="3" max="3" width="14.453125" style="38" bestFit="1" customWidth="1"/>
    <col min="4" max="4" width="16.81640625" style="99" bestFit="1" customWidth="1"/>
    <col min="5" max="5" width="6.26953125" style="99" bestFit="1" customWidth="1"/>
    <col min="6" max="6" width="12.81640625" style="99" bestFit="1" customWidth="1"/>
    <col min="7" max="7" width="8.1796875" style="37" customWidth="1"/>
    <col min="8" max="8" width="10.54296875" style="124" bestFit="1" customWidth="1"/>
    <col min="9" max="9" width="9.54296875" style="124" bestFit="1" customWidth="1"/>
    <col min="10" max="10" width="13.26953125" style="125" bestFit="1" customWidth="1"/>
    <col min="11" max="11" width="15.1796875" style="99" bestFit="1" customWidth="1"/>
    <col min="12" max="12" width="15.1796875" style="99" customWidth="1"/>
    <col min="13" max="13" width="15.1796875" style="99" bestFit="1" customWidth="1"/>
    <col min="14" max="14" width="12.7265625" style="99" customWidth="1"/>
    <col min="15" max="15" width="9.7265625" style="99" customWidth="1"/>
    <col min="16" max="16384" width="9.1796875" style="99"/>
  </cols>
  <sheetData>
    <row r="1" spans="1:15" x14ac:dyDescent="0.35">
      <c r="A1" s="123" t="s">
        <v>83</v>
      </c>
      <c r="M1" s="124"/>
      <c r="N1" s="126"/>
      <c r="O1" s="126"/>
    </row>
    <row r="2" spans="1:15" x14ac:dyDescent="0.35">
      <c r="A2" s="127" t="s">
        <v>257</v>
      </c>
      <c r="H2" s="152" t="s">
        <v>264</v>
      </c>
      <c r="I2" s="128" t="s">
        <v>207</v>
      </c>
      <c r="J2" s="129" t="s">
        <v>208</v>
      </c>
      <c r="K2" s="130" t="s">
        <v>209</v>
      </c>
      <c r="M2" s="124"/>
      <c r="N2" s="126"/>
      <c r="O2" s="126"/>
    </row>
    <row r="3" spans="1:15" x14ac:dyDescent="0.35">
      <c r="A3" s="127" t="s">
        <v>258</v>
      </c>
      <c r="H3" s="131" t="s">
        <v>205</v>
      </c>
      <c r="I3" s="132">
        <f>COUNTIFS($G:$G,H3,$E:$E,$H$2)</f>
        <v>20</v>
      </c>
      <c r="J3" s="133">
        <f>SUMIFS($M:$M,$G:$G,H3,$E:$E,$H$2)</f>
        <v>212786063.63636363</v>
      </c>
      <c r="K3" s="134">
        <f>AVERAGEIFS($M:$M,$G:$G,H3,$E:$E,$H$2)</f>
        <v>10639303.181818182</v>
      </c>
      <c r="M3" s="124"/>
      <c r="N3" s="126"/>
      <c r="O3" s="126"/>
    </row>
    <row r="4" spans="1:15" x14ac:dyDescent="0.35">
      <c r="G4" s="99"/>
      <c r="H4" s="131" t="s">
        <v>206</v>
      </c>
      <c r="I4" s="132">
        <f t="shared" ref="I4:I5" si="0">COUNTIFS($G:$G,H4,$E:$E,$H$2)</f>
        <v>8</v>
      </c>
      <c r="J4" s="133">
        <f t="shared" ref="J4:J5" si="1">SUMIFS($M:$M,$G:$G,H4,$E:$E,$H$2)</f>
        <v>61185000</v>
      </c>
      <c r="K4" s="134">
        <f t="shared" ref="K4:K5" si="2">AVERAGEIFS($M:$M,$G:$G,H4,$E:$E,$H$2)</f>
        <v>7648125</v>
      </c>
      <c r="M4" s="126"/>
      <c r="N4" s="126"/>
      <c r="O4" s="126"/>
    </row>
    <row r="5" spans="1:15" x14ac:dyDescent="0.35">
      <c r="D5" s="126"/>
      <c r="E5" s="126"/>
      <c r="F5" s="126"/>
      <c r="H5" s="135" t="s">
        <v>204</v>
      </c>
      <c r="I5" s="136">
        <f t="shared" si="0"/>
        <v>11</v>
      </c>
      <c r="J5" s="137">
        <f t="shared" si="1"/>
        <v>399900000</v>
      </c>
      <c r="K5" s="138">
        <f t="shared" si="2"/>
        <v>36354545.454545453</v>
      </c>
      <c r="L5" s="126"/>
      <c r="M5" s="126"/>
      <c r="N5" s="126"/>
      <c r="O5" s="126"/>
    </row>
    <row r="6" spans="1:15" x14ac:dyDescent="0.35">
      <c r="D6" s="126"/>
      <c r="E6" s="126"/>
      <c r="F6" s="126"/>
      <c r="K6" s="126"/>
      <c r="L6" s="126"/>
      <c r="M6" s="126"/>
      <c r="N6" s="126"/>
      <c r="O6" s="126"/>
    </row>
    <row r="7" spans="1:15" x14ac:dyDescent="0.35">
      <c r="D7" s="126"/>
      <c r="E7" s="126"/>
      <c r="F7" s="126"/>
      <c r="K7" s="126"/>
      <c r="L7" s="126"/>
      <c r="M7" s="126"/>
      <c r="N7" s="169">
        <v>0.03</v>
      </c>
      <c r="O7" s="126"/>
    </row>
    <row r="8" spans="1:15" ht="13" x14ac:dyDescent="0.3">
      <c r="A8" s="139" t="s">
        <v>84</v>
      </c>
      <c r="B8" s="139" t="s">
        <v>85</v>
      </c>
      <c r="C8" s="139" t="s">
        <v>259</v>
      </c>
      <c r="D8" s="140" t="s">
        <v>86</v>
      </c>
      <c r="E8" s="140" t="s">
        <v>263</v>
      </c>
      <c r="F8" s="140" t="s">
        <v>87</v>
      </c>
      <c r="G8" s="139" t="s">
        <v>88</v>
      </c>
      <c r="H8" s="141" t="s">
        <v>89</v>
      </c>
      <c r="I8" s="142" t="s">
        <v>260</v>
      </c>
      <c r="J8" s="143" t="s">
        <v>261</v>
      </c>
      <c r="K8" s="140" t="s">
        <v>90</v>
      </c>
      <c r="L8" s="140" t="s">
        <v>91</v>
      </c>
      <c r="M8" s="140" t="s">
        <v>16</v>
      </c>
      <c r="N8" s="140" t="s">
        <v>92</v>
      </c>
      <c r="O8" s="140" t="s">
        <v>93</v>
      </c>
    </row>
    <row r="9" spans="1:15" x14ac:dyDescent="0.35">
      <c r="A9" s="38" t="s">
        <v>94</v>
      </c>
      <c r="B9" s="38" t="s">
        <v>95</v>
      </c>
      <c r="C9" s="38" t="str">
        <f>B9&amp;" "&amp;A9</f>
        <v>Sue Smith</v>
      </c>
      <c r="D9" s="126" t="s">
        <v>96</v>
      </c>
      <c r="E9" s="126" t="str">
        <f>RIGHT(D9,2)</f>
        <v>MD</v>
      </c>
      <c r="F9" s="126" t="s">
        <v>97</v>
      </c>
      <c r="G9" s="37" t="str">
        <f>VLOOKUP(F9,Tables!$A$4:$B$10,2,FALSE)</f>
        <v>RES</v>
      </c>
      <c r="H9" s="124">
        <v>38700</v>
      </c>
      <c r="I9" s="144">
        <f>YEAR(H9)</f>
        <v>2005</v>
      </c>
      <c r="J9" s="144">
        <f>MONTH(H9)</f>
        <v>12</v>
      </c>
      <c r="K9" s="126">
        <v>200000000</v>
      </c>
      <c r="L9" s="126">
        <f>K9/2</f>
        <v>100000000</v>
      </c>
      <c r="M9" s="126">
        <f>L9+K9</f>
        <v>300000000</v>
      </c>
      <c r="N9" s="126">
        <f>IF(M9&lt;=10000000,300000,M9*$N$7)</f>
        <v>9000000</v>
      </c>
      <c r="O9" s="126" t="str">
        <f>VLOOKUP(M9,Tables!$E$4:$F$10,2,TRUE)</f>
        <v>CT Gen</v>
      </c>
    </row>
    <row r="10" spans="1:15" x14ac:dyDescent="0.35">
      <c r="A10" s="38" t="s">
        <v>98</v>
      </c>
      <c r="B10" s="38" t="s">
        <v>99</v>
      </c>
      <c r="C10" s="38" t="str">
        <f t="shared" ref="C10:C63" si="3">B10&amp;" "&amp;A10</f>
        <v>Mark Rogers</v>
      </c>
      <c r="D10" s="126" t="s">
        <v>100</v>
      </c>
      <c r="E10" s="126" t="str">
        <f t="shared" ref="E10:E63" si="4">RIGHT(D10,2)</f>
        <v>MD</v>
      </c>
      <c r="F10" s="126" t="s">
        <v>101</v>
      </c>
      <c r="G10" s="37" t="str">
        <f>VLOOKUP(F10,Tables!$A$4:$B$10,2,FALSE)</f>
        <v>COM</v>
      </c>
      <c r="H10" s="124">
        <v>36015</v>
      </c>
      <c r="I10" s="144">
        <f t="shared" ref="I10:I63" si="5">YEAR(H10)</f>
        <v>1998</v>
      </c>
      <c r="J10" s="144">
        <f t="shared" ref="J10:J63" si="6">MONTH(H10)</f>
        <v>8</v>
      </c>
      <c r="K10" s="126">
        <v>4500000</v>
      </c>
      <c r="L10" s="126">
        <f t="shared" ref="L10:L63" si="7">K10/2</f>
        <v>2250000</v>
      </c>
      <c r="M10" s="126">
        <f t="shared" ref="M10:M63" si="8">L10+K10</f>
        <v>6750000</v>
      </c>
      <c r="N10" s="126">
        <f t="shared" ref="N10:N63" si="9">IF(M10&lt;=10000000,300000,M10*$N$7)</f>
        <v>300000</v>
      </c>
      <c r="O10" s="126" t="str">
        <f>VLOOKUP(M10,Tables!$E$4:$F$10,2,TRUE)</f>
        <v>ABC Co</v>
      </c>
    </row>
    <row r="11" spans="1:15" x14ac:dyDescent="0.35">
      <c r="A11" s="38" t="s">
        <v>102</v>
      </c>
      <c r="B11" s="38" t="s">
        <v>103</v>
      </c>
      <c r="C11" s="38" t="str">
        <f t="shared" si="3"/>
        <v>Bernadette Guthrie</v>
      </c>
      <c r="D11" s="126" t="s">
        <v>104</v>
      </c>
      <c r="E11" s="126" t="str">
        <f t="shared" si="4"/>
        <v>MD</v>
      </c>
      <c r="F11" s="126" t="s">
        <v>51</v>
      </c>
      <c r="G11" s="37" t="str">
        <f>VLOOKUP(F11,Tables!$A$4:$B$10,2,FALSE)</f>
        <v>COM</v>
      </c>
      <c r="H11" s="124">
        <v>34113</v>
      </c>
      <c r="I11" s="144">
        <f t="shared" si="5"/>
        <v>1993</v>
      </c>
      <c r="J11" s="144">
        <f t="shared" si="6"/>
        <v>5</v>
      </c>
      <c r="K11" s="126">
        <v>18000000</v>
      </c>
      <c r="L11" s="126">
        <f t="shared" si="7"/>
        <v>9000000</v>
      </c>
      <c r="M11" s="126">
        <f t="shared" si="8"/>
        <v>27000000</v>
      </c>
      <c r="N11" s="126">
        <f t="shared" si="9"/>
        <v>810000</v>
      </c>
      <c r="O11" s="126" t="str">
        <f>VLOOKUP(M11,Tables!$E$4:$F$10,2,TRUE)</f>
        <v>US Cap</v>
      </c>
    </row>
    <row r="12" spans="1:15" x14ac:dyDescent="0.35">
      <c r="A12" s="38" t="s">
        <v>105</v>
      </c>
      <c r="B12" s="38" t="s">
        <v>106</v>
      </c>
      <c r="C12" s="38" t="str">
        <f t="shared" si="3"/>
        <v>Barbara Jones</v>
      </c>
      <c r="D12" s="126" t="s">
        <v>107</v>
      </c>
      <c r="E12" s="126" t="str">
        <f t="shared" si="4"/>
        <v>VA</v>
      </c>
      <c r="F12" s="126" t="s">
        <v>108</v>
      </c>
      <c r="G12" s="37" t="str">
        <f>VLOOKUP(F12,Tables!$A$4:$B$10,2,FALSE)</f>
        <v>MULTI</v>
      </c>
      <c r="H12" s="124">
        <v>38918</v>
      </c>
      <c r="I12" s="144">
        <f t="shared" si="5"/>
        <v>2006</v>
      </c>
      <c r="J12" s="144">
        <f t="shared" si="6"/>
        <v>7</v>
      </c>
      <c r="K12" s="126">
        <v>2700000</v>
      </c>
      <c r="L12" s="126">
        <f t="shared" si="7"/>
        <v>1350000</v>
      </c>
      <c r="M12" s="126">
        <f t="shared" si="8"/>
        <v>4050000</v>
      </c>
      <c r="N12" s="126">
        <f t="shared" si="9"/>
        <v>300000</v>
      </c>
      <c r="O12" s="126" t="str">
        <f>VLOOKUP(M12,Tables!$E$4:$F$10,2,TRUE)</f>
        <v>Pro-Surance</v>
      </c>
    </row>
    <row r="13" spans="1:15" x14ac:dyDescent="0.35">
      <c r="A13" s="38" t="s">
        <v>94</v>
      </c>
      <c r="B13" s="38" t="s">
        <v>109</v>
      </c>
      <c r="C13" s="38" t="str">
        <f t="shared" si="3"/>
        <v>Roger Smith</v>
      </c>
      <c r="D13" s="126" t="s">
        <v>110</v>
      </c>
      <c r="E13" s="126" t="str">
        <f t="shared" si="4"/>
        <v>DC</v>
      </c>
      <c r="F13" s="126" t="s">
        <v>108</v>
      </c>
      <c r="G13" s="37" t="str">
        <f>VLOOKUP(F13,Tables!$A$4:$B$10,2,FALSE)</f>
        <v>MULTI</v>
      </c>
      <c r="H13" s="124">
        <v>38629</v>
      </c>
      <c r="I13" s="144">
        <f t="shared" si="5"/>
        <v>2005</v>
      </c>
      <c r="J13" s="144">
        <f t="shared" si="6"/>
        <v>10</v>
      </c>
      <c r="K13" s="126">
        <v>300000000</v>
      </c>
      <c r="L13" s="126">
        <f t="shared" si="7"/>
        <v>150000000</v>
      </c>
      <c r="M13" s="126">
        <f t="shared" si="8"/>
        <v>450000000</v>
      </c>
      <c r="N13" s="126">
        <f t="shared" si="9"/>
        <v>13500000</v>
      </c>
      <c r="O13" s="126" t="str">
        <f>VLOOKUP(M13,Tables!$E$4:$F$10,2,TRUE)</f>
        <v>CT Gen</v>
      </c>
    </row>
    <row r="14" spans="1:15" x14ac:dyDescent="0.35">
      <c r="A14" s="38" t="s">
        <v>213</v>
      </c>
      <c r="B14" s="38" t="s">
        <v>212</v>
      </c>
      <c r="C14" s="38" t="str">
        <f t="shared" si="3"/>
        <v>Priscilla Timken</v>
      </c>
      <c r="D14" s="126" t="s">
        <v>100</v>
      </c>
      <c r="E14" s="126" t="str">
        <f t="shared" si="4"/>
        <v>MD</v>
      </c>
      <c r="F14" s="126" t="s">
        <v>51</v>
      </c>
      <c r="G14" s="37" t="str">
        <f>VLOOKUP(F14,Tables!$A$4:$B$10,2,FALSE)</f>
        <v>COM</v>
      </c>
      <c r="H14" s="124">
        <v>35119</v>
      </c>
      <c r="I14" s="144">
        <f t="shared" si="5"/>
        <v>1996</v>
      </c>
      <c r="J14" s="144">
        <f t="shared" si="6"/>
        <v>2</v>
      </c>
      <c r="K14" s="126">
        <v>4000000</v>
      </c>
      <c r="L14" s="126">
        <f t="shared" si="7"/>
        <v>2000000</v>
      </c>
      <c r="M14" s="126">
        <f t="shared" si="8"/>
        <v>6000000</v>
      </c>
      <c r="N14" s="126">
        <f t="shared" si="9"/>
        <v>300000</v>
      </c>
      <c r="O14" s="126" t="str">
        <f>VLOOKUP(M14,Tables!$E$4:$F$10,2,TRUE)</f>
        <v>ABC Co</v>
      </c>
    </row>
    <row r="15" spans="1:15" x14ac:dyDescent="0.35">
      <c r="A15" s="38" t="s">
        <v>112</v>
      </c>
      <c r="B15" s="38" t="s">
        <v>113</v>
      </c>
      <c r="C15" s="38" t="str">
        <f t="shared" si="3"/>
        <v>Ric Cole</v>
      </c>
      <c r="D15" s="126" t="s">
        <v>110</v>
      </c>
      <c r="E15" s="126" t="str">
        <f t="shared" si="4"/>
        <v>DC</v>
      </c>
      <c r="F15" s="126" t="s">
        <v>51</v>
      </c>
      <c r="G15" s="37" t="str">
        <f>VLOOKUP(F15,Tables!$A$4:$B$10,2,FALSE)</f>
        <v>COM</v>
      </c>
      <c r="H15" s="124">
        <v>42807</v>
      </c>
      <c r="I15" s="144">
        <f t="shared" si="5"/>
        <v>2017</v>
      </c>
      <c r="J15" s="144">
        <f t="shared" si="6"/>
        <v>3</v>
      </c>
      <c r="K15" s="126">
        <v>6000000</v>
      </c>
      <c r="L15" s="126">
        <f t="shared" si="7"/>
        <v>3000000</v>
      </c>
      <c r="M15" s="126">
        <f t="shared" si="8"/>
        <v>9000000</v>
      </c>
      <c r="N15" s="126">
        <f t="shared" si="9"/>
        <v>300000</v>
      </c>
      <c r="O15" s="126" t="str">
        <f>VLOOKUP(M15,Tables!$E$4:$F$10,2,TRUE)</f>
        <v>ABC Co</v>
      </c>
    </row>
    <row r="16" spans="1:15" x14ac:dyDescent="0.35">
      <c r="A16" s="38" t="s">
        <v>114</v>
      </c>
      <c r="B16" s="38" t="s">
        <v>115</v>
      </c>
      <c r="C16" s="38" t="str">
        <f t="shared" si="3"/>
        <v>Pat Wafer</v>
      </c>
      <c r="D16" s="126" t="s">
        <v>116</v>
      </c>
      <c r="E16" s="126" t="str">
        <f t="shared" si="4"/>
        <v>MD</v>
      </c>
      <c r="F16" s="126" t="s">
        <v>117</v>
      </c>
      <c r="G16" s="37" t="str">
        <f>VLOOKUP(F16,Tables!$A$4:$B$10,2,FALSE)</f>
        <v>RES</v>
      </c>
      <c r="H16" s="124">
        <v>38544</v>
      </c>
      <c r="I16" s="144">
        <f t="shared" si="5"/>
        <v>2005</v>
      </c>
      <c r="J16" s="144">
        <f t="shared" si="6"/>
        <v>7</v>
      </c>
      <c r="K16" s="126">
        <v>5000000</v>
      </c>
      <c r="L16" s="126">
        <f t="shared" si="7"/>
        <v>2500000</v>
      </c>
      <c r="M16" s="126">
        <f t="shared" si="8"/>
        <v>7500000</v>
      </c>
      <c r="N16" s="126">
        <f t="shared" si="9"/>
        <v>300000</v>
      </c>
      <c r="O16" s="126" t="str">
        <f>VLOOKUP(M16,Tables!$E$4:$F$10,2,TRUE)</f>
        <v>ABC Co</v>
      </c>
    </row>
    <row r="17" spans="1:15" x14ac:dyDescent="0.35">
      <c r="A17" s="38" t="s">
        <v>118</v>
      </c>
      <c r="B17" s="38" t="s">
        <v>119</v>
      </c>
      <c r="C17" s="38" t="str">
        <f t="shared" si="3"/>
        <v>Becky Strang</v>
      </c>
      <c r="D17" s="126" t="s">
        <v>96</v>
      </c>
      <c r="E17" s="126" t="str">
        <f t="shared" si="4"/>
        <v>MD</v>
      </c>
      <c r="F17" s="126" t="s">
        <v>101</v>
      </c>
      <c r="G17" s="37" t="str">
        <f>VLOOKUP(F17,Tables!$A$4:$B$10,2,FALSE)</f>
        <v>COM</v>
      </c>
      <c r="H17" s="124">
        <v>36829</v>
      </c>
      <c r="I17" s="144">
        <f t="shared" si="5"/>
        <v>2000</v>
      </c>
      <c r="J17" s="144">
        <f t="shared" si="6"/>
        <v>10</v>
      </c>
      <c r="K17" s="126">
        <v>11000000</v>
      </c>
      <c r="L17" s="126">
        <f t="shared" si="7"/>
        <v>5500000</v>
      </c>
      <c r="M17" s="126">
        <f t="shared" si="8"/>
        <v>16500000</v>
      </c>
      <c r="N17" s="126">
        <f t="shared" si="9"/>
        <v>495000</v>
      </c>
      <c r="O17" s="126" t="str">
        <f>VLOOKUP(M17,Tables!$E$4:$F$10,2,TRUE)</f>
        <v xml:space="preserve">Aetna </v>
      </c>
    </row>
    <row r="18" spans="1:15" x14ac:dyDescent="0.35">
      <c r="A18" s="38" t="s">
        <v>120</v>
      </c>
      <c r="B18" s="38" t="s">
        <v>121</v>
      </c>
      <c r="C18" s="38" t="str">
        <f t="shared" si="3"/>
        <v>Bob Peregoy</v>
      </c>
      <c r="D18" s="126" t="s">
        <v>122</v>
      </c>
      <c r="E18" s="126" t="str">
        <f t="shared" si="4"/>
        <v>WA</v>
      </c>
      <c r="F18" s="126" t="s">
        <v>117</v>
      </c>
      <c r="G18" s="37" t="str">
        <f>VLOOKUP(F18,Tables!$A$4:$B$10,2,FALSE)</f>
        <v>RES</v>
      </c>
      <c r="H18" s="124">
        <v>36641</v>
      </c>
      <c r="I18" s="144">
        <f t="shared" si="5"/>
        <v>2000</v>
      </c>
      <c r="J18" s="144">
        <f t="shared" si="6"/>
        <v>4</v>
      </c>
      <c r="K18" s="126">
        <v>17500000</v>
      </c>
      <c r="L18" s="126">
        <f t="shared" si="7"/>
        <v>8750000</v>
      </c>
      <c r="M18" s="126">
        <f t="shared" si="8"/>
        <v>26250000</v>
      </c>
      <c r="N18" s="126">
        <f t="shared" si="9"/>
        <v>787500</v>
      </c>
      <c r="O18" s="126" t="str">
        <f>VLOOKUP(M18,Tables!$E$4:$F$10,2,TRUE)</f>
        <v>US Cap</v>
      </c>
    </row>
    <row r="19" spans="1:15" x14ac:dyDescent="0.35">
      <c r="A19" s="38" t="s">
        <v>123</v>
      </c>
      <c r="B19" s="38" t="s">
        <v>124</v>
      </c>
      <c r="C19" s="38" t="str">
        <f t="shared" si="3"/>
        <v>Marge Wolfe</v>
      </c>
      <c r="D19" s="126" t="s">
        <v>96</v>
      </c>
      <c r="E19" s="126" t="str">
        <f t="shared" si="4"/>
        <v>MD</v>
      </c>
      <c r="F19" s="126" t="s">
        <v>108</v>
      </c>
      <c r="G19" s="37" t="str">
        <f>VLOOKUP(F19,Tables!$A$4:$B$10,2,FALSE)</f>
        <v>MULTI</v>
      </c>
      <c r="H19" s="124">
        <v>40195</v>
      </c>
      <c r="I19" s="144">
        <f t="shared" si="5"/>
        <v>2010</v>
      </c>
      <c r="J19" s="144">
        <f t="shared" si="6"/>
        <v>1</v>
      </c>
      <c r="K19" s="126">
        <v>4000000</v>
      </c>
      <c r="L19" s="126">
        <f t="shared" si="7"/>
        <v>2000000</v>
      </c>
      <c r="M19" s="126">
        <f t="shared" si="8"/>
        <v>6000000</v>
      </c>
      <c r="N19" s="126">
        <f t="shared" si="9"/>
        <v>300000</v>
      </c>
      <c r="O19" s="126" t="str">
        <f>VLOOKUP(M19,Tables!$E$4:$F$10,2,TRUE)</f>
        <v>ABC Co</v>
      </c>
    </row>
    <row r="20" spans="1:15" x14ac:dyDescent="0.35">
      <c r="A20" s="38" t="s">
        <v>125</v>
      </c>
      <c r="B20" s="38" t="s">
        <v>126</v>
      </c>
      <c r="C20" s="38" t="str">
        <f t="shared" si="3"/>
        <v>Kristin Thompson</v>
      </c>
      <c r="D20" s="126" t="s">
        <v>110</v>
      </c>
      <c r="E20" s="126" t="str">
        <f t="shared" si="4"/>
        <v>DC</v>
      </c>
      <c r="F20" s="126" t="s">
        <v>51</v>
      </c>
      <c r="G20" s="37" t="str">
        <f>VLOOKUP(F20,Tables!$A$4:$B$10,2,FALSE)</f>
        <v>COM</v>
      </c>
      <c r="H20" s="124">
        <v>40547</v>
      </c>
      <c r="I20" s="144">
        <f t="shared" si="5"/>
        <v>2011</v>
      </c>
      <c r="J20" s="144">
        <f t="shared" si="6"/>
        <v>1</v>
      </c>
      <c r="K20" s="126">
        <v>1800000</v>
      </c>
      <c r="L20" s="126">
        <f t="shared" si="7"/>
        <v>900000</v>
      </c>
      <c r="M20" s="126">
        <f t="shared" si="8"/>
        <v>2700000</v>
      </c>
      <c r="N20" s="126">
        <f t="shared" si="9"/>
        <v>300000</v>
      </c>
      <c r="O20" s="126" t="str">
        <f>VLOOKUP(M20,Tables!$E$4:$F$10,2,TRUE)</f>
        <v>Pro-Surance</v>
      </c>
    </row>
    <row r="21" spans="1:15" x14ac:dyDescent="0.35">
      <c r="A21" s="38" t="s">
        <v>127</v>
      </c>
      <c r="B21" s="38" t="s">
        <v>128</v>
      </c>
      <c r="C21" s="38" t="str">
        <f t="shared" si="3"/>
        <v>Alan Hodge</v>
      </c>
      <c r="D21" s="126" t="s">
        <v>96</v>
      </c>
      <c r="E21" s="126" t="str">
        <f t="shared" si="4"/>
        <v>MD</v>
      </c>
      <c r="F21" s="126" t="s">
        <v>101</v>
      </c>
      <c r="G21" s="37" t="str">
        <f>VLOOKUP(F21,Tables!$A$4:$B$10,2,FALSE)</f>
        <v>COM</v>
      </c>
      <c r="H21" s="124">
        <v>42174</v>
      </c>
      <c r="I21" s="144">
        <f t="shared" si="5"/>
        <v>2015</v>
      </c>
      <c r="J21" s="144">
        <f t="shared" si="6"/>
        <v>6</v>
      </c>
      <c r="K21" s="126">
        <v>4500000</v>
      </c>
      <c r="L21" s="126">
        <f t="shared" si="7"/>
        <v>2250000</v>
      </c>
      <c r="M21" s="126">
        <f t="shared" si="8"/>
        <v>6750000</v>
      </c>
      <c r="N21" s="126">
        <f t="shared" si="9"/>
        <v>300000</v>
      </c>
      <c r="O21" s="126" t="str">
        <f>VLOOKUP(M21,Tables!$E$4:$F$10,2,TRUE)</f>
        <v>ABC Co</v>
      </c>
    </row>
    <row r="22" spans="1:15" x14ac:dyDescent="0.35">
      <c r="A22" s="38" t="s">
        <v>125</v>
      </c>
      <c r="B22" s="38" t="s">
        <v>129</v>
      </c>
      <c r="C22" s="38" t="str">
        <f t="shared" si="3"/>
        <v>Carolyn Thompson</v>
      </c>
      <c r="D22" s="126" t="s">
        <v>130</v>
      </c>
      <c r="E22" s="126" t="str">
        <f t="shared" si="4"/>
        <v>MD</v>
      </c>
      <c r="F22" s="126" t="s">
        <v>101</v>
      </c>
      <c r="G22" s="37" t="str">
        <f>VLOOKUP(F22,Tables!$A$4:$B$10,2,FALSE)</f>
        <v>COM</v>
      </c>
      <c r="H22" s="124">
        <v>41046</v>
      </c>
      <c r="I22" s="144">
        <f t="shared" si="5"/>
        <v>2012</v>
      </c>
      <c r="J22" s="144">
        <f t="shared" si="6"/>
        <v>5</v>
      </c>
      <c r="K22" s="126">
        <v>15000000</v>
      </c>
      <c r="L22" s="126">
        <f t="shared" si="7"/>
        <v>7500000</v>
      </c>
      <c r="M22" s="126">
        <f t="shared" si="8"/>
        <v>22500000</v>
      </c>
      <c r="N22" s="126">
        <f t="shared" si="9"/>
        <v>675000</v>
      </c>
      <c r="O22" s="126" t="str">
        <f>VLOOKUP(M22,Tables!$E$4:$F$10,2,TRUE)</f>
        <v xml:space="preserve">Aetna </v>
      </c>
    </row>
    <row r="23" spans="1:15" x14ac:dyDescent="0.35">
      <c r="A23" s="38" t="s">
        <v>125</v>
      </c>
      <c r="B23" s="38" t="s">
        <v>131</v>
      </c>
      <c r="C23" s="38" t="str">
        <f t="shared" si="3"/>
        <v>Jim Thompson</v>
      </c>
      <c r="D23" s="126" t="s">
        <v>132</v>
      </c>
      <c r="E23" s="126" t="str">
        <f t="shared" si="4"/>
        <v>VA</v>
      </c>
      <c r="F23" s="126" t="s">
        <v>133</v>
      </c>
      <c r="G23" s="37" t="str">
        <f>VLOOKUP(F23,Tables!$A$4:$B$10,2,FALSE)</f>
        <v>COM</v>
      </c>
      <c r="H23" s="124">
        <v>42609</v>
      </c>
      <c r="I23" s="144">
        <f t="shared" si="5"/>
        <v>2016</v>
      </c>
      <c r="J23" s="144">
        <f t="shared" si="6"/>
        <v>8</v>
      </c>
      <c r="K23" s="126">
        <v>4200000</v>
      </c>
      <c r="L23" s="126">
        <f t="shared" si="7"/>
        <v>2100000</v>
      </c>
      <c r="M23" s="126">
        <f t="shared" si="8"/>
        <v>6300000</v>
      </c>
      <c r="N23" s="126">
        <f t="shared" si="9"/>
        <v>300000</v>
      </c>
      <c r="O23" s="126" t="str">
        <f>VLOOKUP(M23,Tables!$E$4:$F$10,2,TRUE)</f>
        <v>ABC Co</v>
      </c>
    </row>
    <row r="24" spans="1:15" x14ac:dyDescent="0.35">
      <c r="A24" s="38" t="s">
        <v>134</v>
      </c>
      <c r="B24" s="38" t="s">
        <v>135</v>
      </c>
      <c r="C24" s="38" t="str">
        <f t="shared" si="3"/>
        <v>Bill Morgan</v>
      </c>
      <c r="D24" s="126" t="s">
        <v>100</v>
      </c>
      <c r="E24" s="126" t="str">
        <f t="shared" si="4"/>
        <v>MD</v>
      </c>
      <c r="F24" s="126" t="s">
        <v>133</v>
      </c>
      <c r="G24" s="37" t="str">
        <f>VLOOKUP(F24,Tables!$A$4:$B$10,2,FALSE)</f>
        <v>COM</v>
      </c>
      <c r="H24" s="124">
        <v>36403</v>
      </c>
      <c r="I24" s="144">
        <f t="shared" si="5"/>
        <v>1999</v>
      </c>
      <c r="J24" s="144">
        <f t="shared" si="6"/>
        <v>8</v>
      </c>
      <c r="K24" s="126">
        <v>16000000</v>
      </c>
      <c r="L24" s="126">
        <f t="shared" si="7"/>
        <v>8000000</v>
      </c>
      <c r="M24" s="126">
        <f t="shared" si="8"/>
        <v>24000000</v>
      </c>
      <c r="N24" s="126">
        <f t="shared" si="9"/>
        <v>720000</v>
      </c>
      <c r="O24" s="126" t="str">
        <f>VLOOKUP(M24,Tables!$E$4:$F$10,2,TRUE)</f>
        <v xml:space="preserve">Aetna </v>
      </c>
    </row>
    <row r="25" spans="1:15" x14ac:dyDescent="0.35">
      <c r="A25" s="38" t="s">
        <v>211</v>
      </c>
      <c r="B25" s="38" t="s">
        <v>136</v>
      </c>
      <c r="C25" s="38" t="str">
        <f t="shared" si="3"/>
        <v>Liam Costner</v>
      </c>
      <c r="D25" s="126" t="s">
        <v>96</v>
      </c>
      <c r="E25" s="126" t="str">
        <f t="shared" si="4"/>
        <v>MD</v>
      </c>
      <c r="F25" s="126" t="s">
        <v>108</v>
      </c>
      <c r="G25" s="37" t="str">
        <f>VLOOKUP(F25,Tables!$A$4:$B$10,2,FALSE)</f>
        <v>MULTI</v>
      </c>
      <c r="H25" s="124">
        <v>40512</v>
      </c>
      <c r="I25" s="144">
        <f t="shared" si="5"/>
        <v>2010</v>
      </c>
      <c r="J25" s="144">
        <f t="shared" si="6"/>
        <v>11</v>
      </c>
      <c r="K25" s="126">
        <v>9000000</v>
      </c>
      <c r="L25" s="126">
        <f t="shared" si="7"/>
        <v>4500000</v>
      </c>
      <c r="M25" s="126">
        <f t="shared" si="8"/>
        <v>13500000</v>
      </c>
      <c r="N25" s="126">
        <f t="shared" si="9"/>
        <v>405000</v>
      </c>
      <c r="O25" s="126" t="str">
        <f>VLOOKUP(M25,Tables!$E$4:$F$10,2,TRUE)</f>
        <v xml:space="preserve">Aetna </v>
      </c>
    </row>
    <row r="26" spans="1:15" x14ac:dyDescent="0.35">
      <c r="A26" s="38" t="s">
        <v>94</v>
      </c>
      <c r="B26" s="38" t="s">
        <v>137</v>
      </c>
      <c r="C26" s="38" t="str">
        <f t="shared" si="3"/>
        <v>Rhonda Smith</v>
      </c>
      <c r="D26" s="126" t="s">
        <v>116</v>
      </c>
      <c r="E26" s="126" t="str">
        <f t="shared" si="4"/>
        <v>MD</v>
      </c>
      <c r="F26" s="126" t="s">
        <v>108</v>
      </c>
      <c r="G26" s="37" t="str">
        <f>VLOOKUP(F26,Tables!$A$4:$B$10,2,FALSE)</f>
        <v>MULTI</v>
      </c>
      <c r="H26" s="124">
        <v>36930</v>
      </c>
      <c r="I26" s="144">
        <f t="shared" si="5"/>
        <v>2001</v>
      </c>
      <c r="J26" s="144">
        <f t="shared" si="6"/>
        <v>2</v>
      </c>
      <c r="K26" s="126">
        <v>1500000</v>
      </c>
      <c r="L26" s="126">
        <f t="shared" si="7"/>
        <v>750000</v>
      </c>
      <c r="M26" s="126">
        <f t="shared" si="8"/>
        <v>2250000</v>
      </c>
      <c r="N26" s="126">
        <f t="shared" si="9"/>
        <v>300000</v>
      </c>
      <c r="O26" s="126" t="str">
        <f>VLOOKUP(M26,Tables!$E$4:$F$10,2,TRUE)</f>
        <v>Pro-Surance</v>
      </c>
    </row>
    <row r="27" spans="1:15" x14ac:dyDescent="0.35">
      <c r="A27" s="38" t="s">
        <v>138</v>
      </c>
      <c r="B27" s="38" t="s">
        <v>139</v>
      </c>
      <c r="C27" s="38" t="str">
        <f t="shared" si="3"/>
        <v>Peggy Armitage</v>
      </c>
      <c r="D27" s="126" t="s">
        <v>116</v>
      </c>
      <c r="E27" s="126" t="str">
        <f t="shared" si="4"/>
        <v>MD</v>
      </c>
      <c r="F27" s="126" t="s">
        <v>108</v>
      </c>
      <c r="G27" s="37" t="str">
        <f>VLOOKUP(F27,Tables!$A$4:$B$10,2,FALSE)</f>
        <v>MULTI</v>
      </c>
      <c r="H27" s="124">
        <v>38984</v>
      </c>
      <c r="I27" s="144">
        <f t="shared" si="5"/>
        <v>2006</v>
      </c>
      <c r="J27" s="144">
        <f t="shared" si="6"/>
        <v>9</v>
      </c>
      <c r="K27" s="126">
        <v>12000000</v>
      </c>
      <c r="L27" s="126">
        <f t="shared" si="7"/>
        <v>6000000</v>
      </c>
      <c r="M27" s="126">
        <f t="shared" si="8"/>
        <v>18000000</v>
      </c>
      <c r="N27" s="126">
        <f t="shared" si="9"/>
        <v>540000</v>
      </c>
      <c r="O27" s="126" t="str">
        <f>VLOOKUP(M27,Tables!$E$4:$F$10,2,TRUE)</f>
        <v xml:space="preserve">Aetna </v>
      </c>
    </row>
    <row r="28" spans="1:15" x14ac:dyDescent="0.35">
      <c r="A28" s="38" t="s">
        <v>140</v>
      </c>
      <c r="B28" s="38" t="s">
        <v>141</v>
      </c>
      <c r="C28" s="38" t="str">
        <f t="shared" si="3"/>
        <v>Gail DeMoss</v>
      </c>
      <c r="D28" s="126" t="s">
        <v>142</v>
      </c>
      <c r="E28" s="126" t="str">
        <f t="shared" si="4"/>
        <v>MD</v>
      </c>
      <c r="F28" s="126" t="s">
        <v>51</v>
      </c>
      <c r="G28" s="37" t="str">
        <f>VLOOKUP(F28,Tables!$A$4:$B$10,2,FALSE)</f>
        <v>COM</v>
      </c>
      <c r="H28" s="124">
        <v>42198</v>
      </c>
      <c r="I28" s="144">
        <f t="shared" si="5"/>
        <v>2015</v>
      </c>
      <c r="J28" s="144">
        <f t="shared" si="6"/>
        <v>7</v>
      </c>
      <c r="K28" s="126">
        <v>750000</v>
      </c>
      <c r="L28" s="126">
        <f t="shared" si="7"/>
        <v>375000</v>
      </c>
      <c r="M28" s="126">
        <f t="shared" si="8"/>
        <v>1125000</v>
      </c>
      <c r="N28" s="126">
        <f t="shared" si="9"/>
        <v>300000</v>
      </c>
      <c r="O28" s="126" t="str">
        <f>VLOOKUP(M28,Tables!$E$4:$F$10,2,TRUE)</f>
        <v>Pro-Surance</v>
      </c>
    </row>
    <row r="29" spans="1:15" x14ac:dyDescent="0.35">
      <c r="A29" s="38" t="s">
        <v>143</v>
      </c>
      <c r="B29" s="38" t="s">
        <v>144</v>
      </c>
      <c r="C29" s="38" t="str">
        <f t="shared" si="3"/>
        <v>Jeff Gorney</v>
      </c>
      <c r="D29" s="126" t="s">
        <v>145</v>
      </c>
      <c r="E29" s="126" t="str">
        <f t="shared" si="4"/>
        <v>MD</v>
      </c>
      <c r="F29" s="126" t="s">
        <v>97</v>
      </c>
      <c r="G29" s="37" t="str">
        <f>VLOOKUP(F29,Tables!$A$4:$B$10,2,FALSE)</f>
        <v>RES</v>
      </c>
      <c r="H29" s="124">
        <v>36613</v>
      </c>
      <c r="I29" s="144">
        <f t="shared" si="5"/>
        <v>2000</v>
      </c>
      <c r="J29" s="144">
        <f t="shared" si="6"/>
        <v>3</v>
      </c>
      <c r="K29" s="126">
        <v>3500000</v>
      </c>
      <c r="L29" s="126">
        <f t="shared" si="7"/>
        <v>1750000</v>
      </c>
      <c r="M29" s="126">
        <f t="shared" si="8"/>
        <v>5250000</v>
      </c>
      <c r="N29" s="126">
        <f t="shared" si="9"/>
        <v>300000</v>
      </c>
      <c r="O29" s="126" t="str">
        <f>VLOOKUP(M29,Tables!$E$4:$F$10,2,TRUE)</f>
        <v>ABC Co</v>
      </c>
    </row>
    <row r="30" spans="1:15" x14ac:dyDescent="0.35">
      <c r="A30" s="38" t="s">
        <v>146</v>
      </c>
      <c r="B30" s="38" t="s">
        <v>147</v>
      </c>
      <c r="C30" s="38" t="str">
        <f t="shared" si="3"/>
        <v>Grant Thomas</v>
      </c>
      <c r="D30" s="126" t="s">
        <v>107</v>
      </c>
      <c r="E30" s="126" t="str">
        <f t="shared" si="4"/>
        <v>VA</v>
      </c>
      <c r="F30" s="126" t="s">
        <v>97</v>
      </c>
      <c r="G30" s="37" t="str">
        <f>VLOOKUP(F30,Tables!$A$4:$B$10,2,FALSE)</f>
        <v>RES</v>
      </c>
      <c r="H30" s="124">
        <v>40391</v>
      </c>
      <c r="I30" s="144">
        <f t="shared" si="5"/>
        <v>2010</v>
      </c>
      <c r="J30" s="144">
        <f t="shared" si="6"/>
        <v>8</v>
      </c>
      <c r="K30" s="126">
        <v>1500000</v>
      </c>
      <c r="L30" s="126">
        <f t="shared" si="7"/>
        <v>750000</v>
      </c>
      <c r="M30" s="126">
        <f t="shared" si="8"/>
        <v>2250000</v>
      </c>
      <c r="N30" s="126">
        <f t="shared" si="9"/>
        <v>300000</v>
      </c>
      <c r="O30" s="126" t="str">
        <f>VLOOKUP(M30,Tables!$E$4:$F$10,2,TRUE)</f>
        <v>Pro-Surance</v>
      </c>
    </row>
    <row r="31" spans="1:15" x14ac:dyDescent="0.35">
      <c r="A31" s="38" t="s">
        <v>148</v>
      </c>
      <c r="B31" s="38" t="s">
        <v>149</v>
      </c>
      <c r="C31" s="38" t="str">
        <f t="shared" si="3"/>
        <v>Ashley Williams</v>
      </c>
      <c r="D31" s="126" t="s">
        <v>210</v>
      </c>
      <c r="E31" s="126" t="str">
        <f t="shared" si="4"/>
        <v>MD</v>
      </c>
      <c r="F31" s="126" t="s">
        <v>97</v>
      </c>
      <c r="G31" s="37" t="str">
        <f>VLOOKUP(F31,Tables!$A$4:$B$10,2,FALSE)</f>
        <v>RES</v>
      </c>
      <c r="H31" s="124">
        <v>41074</v>
      </c>
      <c r="I31" s="144">
        <f t="shared" si="5"/>
        <v>2012</v>
      </c>
      <c r="J31" s="144">
        <f t="shared" si="6"/>
        <v>6</v>
      </c>
      <c r="K31" s="126">
        <v>10000000</v>
      </c>
      <c r="L31" s="126">
        <f t="shared" si="7"/>
        <v>5000000</v>
      </c>
      <c r="M31" s="126">
        <f t="shared" si="8"/>
        <v>15000000</v>
      </c>
      <c r="N31" s="126">
        <f t="shared" si="9"/>
        <v>450000</v>
      </c>
      <c r="O31" s="126" t="str">
        <f>VLOOKUP(M31,Tables!$E$4:$F$10,2,TRUE)</f>
        <v xml:space="preserve">Aetna </v>
      </c>
    </row>
    <row r="32" spans="1:15" x14ac:dyDescent="0.35">
      <c r="A32" s="38" t="s">
        <v>105</v>
      </c>
      <c r="B32" s="38" t="s">
        <v>150</v>
      </c>
      <c r="C32" s="38" t="str">
        <f t="shared" si="3"/>
        <v>Marsha Jones</v>
      </c>
      <c r="D32" s="126" t="s">
        <v>116</v>
      </c>
      <c r="E32" s="126" t="str">
        <f t="shared" si="4"/>
        <v>MD</v>
      </c>
      <c r="F32" s="126" t="s">
        <v>51</v>
      </c>
      <c r="G32" s="37" t="str">
        <f>VLOOKUP(F32,Tables!$A$4:$B$10,2,FALSE)</f>
        <v>COM</v>
      </c>
      <c r="H32" s="124">
        <v>40126</v>
      </c>
      <c r="I32" s="144">
        <f t="shared" si="5"/>
        <v>2009</v>
      </c>
      <c r="J32" s="144">
        <f t="shared" si="6"/>
        <v>11</v>
      </c>
      <c r="K32" s="126">
        <v>1800000</v>
      </c>
      <c r="L32" s="126">
        <f t="shared" si="7"/>
        <v>900000</v>
      </c>
      <c r="M32" s="126">
        <f t="shared" si="8"/>
        <v>2700000</v>
      </c>
      <c r="N32" s="126">
        <f t="shared" si="9"/>
        <v>300000</v>
      </c>
      <c r="O32" s="126" t="str">
        <f>VLOOKUP(M32,Tables!$E$4:$F$10,2,TRUE)</f>
        <v>Pro-Surance</v>
      </c>
    </row>
    <row r="33" spans="1:15" x14ac:dyDescent="0.35">
      <c r="A33" s="38" t="s">
        <v>151</v>
      </c>
      <c r="B33" s="38" t="s">
        <v>152</v>
      </c>
      <c r="C33" s="38" t="str">
        <f t="shared" si="3"/>
        <v>Rick Baker</v>
      </c>
      <c r="D33" s="126" t="s">
        <v>153</v>
      </c>
      <c r="E33" s="126" t="str">
        <f t="shared" si="4"/>
        <v>MD</v>
      </c>
      <c r="F33" s="126" t="s">
        <v>117</v>
      </c>
      <c r="G33" s="37" t="str">
        <f>VLOOKUP(F33,Tables!$A$4:$B$10,2,FALSE)</f>
        <v>RES</v>
      </c>
      <c r="H33" s="124">
        <v>39021</v>
      </c>
      <c r="I33" s="144">
        <f t="shared" si="5"/>
        <v>2006</v>
      </c>
      <c r="J33" s="144">
        <f t="shared" si="6"/>
        <v>10</v>
      </c>
      <c r="K33" s="126">
        <v>3500000</v>
      </c>
      <c r="L33" s="126">
        <f t="shared" si="7"/>
        <v>1750000</v>
      </c>
      <c r="M33" s="126">
        <f t="shared" si="8"/>
        <v>5250000</v>
      </c>
      <c r="N33" s="126">
        <f t="shared" si="9"/>
        <v>300000</v>
      </c>
      <c r="O33" s="126" t="str">
        <f>VLOOKUP(M33,Tables!$E$4:$F$10,2,TRUE)</f>
        <v>ABC Co</v>
      </c>
    </row>
    <row r="34" spans="1:15" x14ac:dyDescent="0.35">
      <c r="A34" s="38" t="s">
        <v>154</v>
      </c>
      <c r="B34" s="38" t="s">
        <v>155</v>
      </c>
      <c r="C34" s="38" t="str">
        <f t="shared" si="3"/>
        <v>Jack Allen</v>
      </c>
      <c r="D34" s="126" t="s">
        <v>96</v>
      </c>
      <c r="E34" s="126" t="str">
        <f t="shared" si="4"/>
        <v>MD</v>
      </c>
      <c r="F34" s="126" t="s">
        <v>117</v>
      </c>
      <c r="G34" s="37" t="str">
        <f>VLOOKUP(F34,Tables!$A$4:$B$10,2,FALSE)</f>
        <v>RES</v>
      </c>
      <c r="H34" s="124">
        <v>37666</v>
      </c>
      <c r="I34" s="144">
        <f t="shared" si="5"/>
        <v>2003</v>
      </c>
      <c r="J34" s="144">
        <f t="shared" si="6"/>
        <v>2</v>
      </c>
      <c r="K34" s="126">
        <v>4500000</v>
      </c>
      <c r="L34" s="126">
        <f t="shared" si="7"/>
        <v>2250000</v>
      </c>
      <c r="M34" s="126">
        <f t="shared" si="8"/>
        <v>6750000</v>
      </c>
      <c r="N34" s="126">
        <f t="shared" si="9"/>
        <v>300000</v>
      </c>
      <c r="O34" s="126" t="str">
        <f>VLOOKUP(M34,Tables!$E$4:$F$10,2,TRUE)</f>
        <v>ABC Co</v>
      </c>
    </row>
    <row r="35" spans="1:15" x14ac:dyDescent="0.35">
      <c r="A35" s="38" t="s">
        <v>151</v>
      </c>
      <c r="B35" s="38" t="s">
        <v>156</v>
      </c>
      <c r="C35" s="38" t="str">
        <f t="shared" si="3"/>
        <v>Jane Baker</v>
      </c>
      <c r="D35" s="126" t="s">
        <v>153</v>
      </c>
      <c r="E35" s="126" t="str">
        <f t="shared" si="4"/>
        <v>MD</v>
      </c>
      <c r="F35" s="126" t="s">
        <v>133</v>
      </c>
      <c r="G35" s="37" t="str">
        <f>VLOOKUP(F35,Tables!$A$4:$B$10,2,FALSE)</f>
        <v>COM</v>
      </c>
      <c r="H35" s="124">
        <v>41872</v>
      </c>
      <c r="I35" s="144">
        <f t="shared" si="5"/>
        <v>2014</v>
      </c>
      <c r="J35" s="144">
        <f t="shared" si="6"/>
        <v>8</v>
      </c>
      <c r="K35" s="126">
        <v>3650000</v>
      </c>
      <c r="L35" s="126">
        <f t="shared" si="7"/>
        <v>1825000</v>
      </c>
      <c r="M35" s="126">
        <f t="shared" si="8"/>
        <v>5475000</v>
      </c>
      <c r="N35" s="126">
        <f t="shared" si="9"/>
        <v>300000</v>
      </c>
      <c r="O35" s="126" t="str">
        <f>VLOOKUP(M35,Tables!$E$4:$F$10,2,TRUE)</f>
        <v>ABC Co</v>
      </c>
    </row>
    <row r="36" spans="1:15" x14ac:dyDescent="0.35">
      <c r="A36" s="38" t="s">
        <v>127</v>
      </c>
      <c r="B36" s="38" t="s">
        <v>157</v>
      </c>
      <c r="C36" s="38" t="str">
        <f t="shared" si="3"/>
        <v>Jennifer Hodge</v>
      </c>
      <c r="D36" s="126" t="s">
        <v>96</v>
      </c>
      <c r="E36" s="126" t="str">
        <f t="shared" si="4"/>
        <v>MD</v>
      </c>
      <c r="F36" s="126" t="s">
        <v>108</v>
      </c>
      <c r="G36" s="37" t="str">
        <f>VLOOKUP(F36,Tables!$A$4:$B$10,2,FALSE)</f>
        <v>MULTI</v>
      </c>
      <c r="H36" s="124">
        <v>42338</v>
      </c>
      <c r="I36" s="144">
        <f t="shared" si="5"/>
        <v>2015</v>
      </c>
      <c r="J36" s="144">
        <f t="shared" si="6"/>
        <v>11</v>
      </c>
      <c r="K36" s="126">
        <v>2000000</v>
      </c>
      <c r="L36" s="126">
        <f t="shared" si="7"/>
        <v>1000000</v>
      </c>
      <c r="M36" s="126">
        <f t="shared" si="8"/>
        <v>3000000</v>
      </c>
      <c r="N36" s="126">
        <f t="shared" si="9"/>
        <v>300000</v>
      </c>
      <c r="O36" s="126" t="str">
        <f>VLOOKUP(M36,Tables!$E$4:$F$10,2,TRUE)</f>
        <v>Pro-Surance</v>
      </c>
    </row>
    <row r="37" spans="1:15" x14ac:dyDescent="0.35">
      <c r="A37" s="38" t="s">
        <v>158</v>
      </c>
      <c r="B37" s="38" t="s">
        <v>159</v>
      </c>
      <c r="C37" s="38" t="str">
        <f t="shared" si="3"/>
        <v>Drew Steis</v>
      </c>
      <c r="D37" s="126" t="s">
        <v>160</v>
      </c>
      <c r="E37" s="126" t="str">
        <f t="shared" si="4"/>
        <v>MD</v>
      </c>
      <c r="F37" s="126" t="s">
        <v>108</v>
      </c>
      <c r="G37" s="37" t="str">
        <f>VLOOKUP(F37,Tables!$A$4:$B$10,2,FALSE)</f>
        <v>MULTI</v>
      </c>
      <c r="H37" s="124">
        <v>41169</v>
      </c>
      <c r="I37" s="144">
        <f t="shared" si="5"/>
        <v>2012</v>
      </c>
      <c r="J37" s="144">
        <f t="shared" si="6"/>
        <v>9</v>
      </c>
      <c r="K37" s="126">
        <v>1800000</v>
      </c>
      <c r="L37" s="126">
        <f t="shared" si="7"/>
        <v>900000</v>
      </c>
      <c r="M37" s="126">
        <f t="shared" si="8"/>
        <v>2700000</v>
      </c>
      <c r="N37" s="126">
        <f t="shared" si="9"/>
        <v>300000</v>
      </c>
      <c r="O37" s="126" t="str">
        <f>VLOOKUP(M37,Tables!$E$4:$F$10,2,TRUE)</f>
        <v>Pro-Surance</v>
      </c>
    </row>
    <row r="38" spans="1:15" x14ac:dyDescent="0.35">
      <c r="A38" s="38" t="s">
        <v>161</v>
      </c>
      <c r="B38" s="38" t="s">
        <v>162</v>
      </c>
      <c r="C38" s="38" t="str">
        <f t="shared" si="3"/>
        <v>Paul Hagan</v>
      </c>
      <c r="D38" s="126" t="s">
        <v>96</v>
      </c>
      <c r="E38" s="126" t="str">
        <f t="shared" si="4"/>
        <v>MD</v>
      </c>
      <c r="F38" s="126" t="s">
        <v>51</v>
      </c>
      <c r="G38" s="37" t="str">
        <f>VLOOKUP(F38,Tables!$A$4:$B$10,2,FALSE)</f>
        <v>COM</v>
      </c>
      <c r="H38" s="124">
        <v>42143</v>
      </c>
      <c r="I38" s="144">
        <f t="shared" si="5"/>
        <v>2015</v>
      </c>
      <c r="J38" s="144">
        <f t="shared" si="6"/>
        <v>5</v>
      </c>
      <c r="K38" s="126">
        <v>2200000</v>
      </c>
      <c r="L38" s="126">
        <f t="shared" si="7"/>
        <v>1100000</v>
      </c>
      <c r="M38" s="126">
        <f t="shared" si="8"/>
        <v>3300000</v>
      </c>
      <c r="N38" s="126">
        <f t="shared" si="9"/>
        <v>300000</v>
      </c>
      <c r="O38" s="126" t="str">
        <f>VLOOKUP(M38,Tables!$E$4:$F$10,2,TRUE)</f>
        <v>Pro-Surance</v>
      </c>
    </row>
    <row r="39" spans="1:15" x14ac:dyDescent="0.35">
      <c r="A39" s="38" t="s">
        <v>161</v>
      </c>
      <c r="B39" s="38" t="s">
        <v>163</v>
      </c>
      <c r="C39" s="38" t="str">
        <f t="shared" si="3"/>
        <v>Sheila Hagan</v>
      </c>
      <c r="D39" s="126" t="s">
        <v>96</v>
      </c>
      <c r="E39" s="126" t="str">
        <f t="shared" si="4"/>
        <v>MD</v>
      </c>
      <c r="F39" s="126" t="s">
        <v>164</v>
      </c>
      <c r="G39" s="37" t="str">
        <f>VLOOKUP(F39,Tables!$A$4:$B$10,2,FALSE)</f>
        <v>COM</v>
      </c>
      <c r="H39" s="124">
        <v>42964</v>
      </c>
      <c r="I39" s="144">
        <f t="shared" si="5"/>
        <v>2017</v>
      </c>
      <c r="J39" s="144">
        <f t="shared" si="6"/>
        <v>8</v>
      </c>
      <c r="K39" s="126">
        <v>7800000</v>
      </c>
      <c r="L39" s="126">
        <f t="shared" si="7"/>
        <v>3900000</v>
      </c>
      <c r="M39" s="126">
        <f t="shared" si="8"/>
        <v>11700000</v>
      </c>
      <c r="N39" s="126">
        <f t="shared" si="9"/>
        <v>351000</v>
      </c>
      <c r="O39" s="126" t="str">
        <f>VLOOKUP(M39,Tables!$E$4:$F$10,2,TRUE)</f>
        <v xml:space="preserve">Aetna </v>
      </c>
    </row>
    <row r="40" spans="1:15" x14ac:dyDescent="0.35">
      <c r="A40" s="38" t="s">
        <v>165</v>
      </c>
      <c r="B40" s="38" t="s">
        <v>166</v>
      </c>
      <c r="C40" s="38" t="str">
        <f t="shared" si="3"/>
        <v>Mary Ann Bozman</v>
      </c>
      <c r="D40" s="126" t="s">
        <v>160</v>
      </c>
      <c r="E40" s="126" t="str">
        <f t="shared" si="4"/>
        <v>MD</v>
      </c>
      <c r="F40" s="126" t="s">
        <v>51</v>
      </c>
      <c r="G40" s="37" t="str">
        <f>VLOOKUP(F40,Tables!$A$4:$B$10,2,FALSE)</f>
        <v>COM</v>
      </c>
      <c r="H40" s="124">
        <v>41339</v>
      </c>
      <c r="I40" s="144">
        <f t="shared" si="5"/>
        <v>2013</v>
      </c>
      <c r="J40" s="144">
        <f t="shared" si="6"/>
        <v>3</v>
      </c>
      <c r="K40" s="126">
        <v>1750000</v>
      </c>
      <c r="L40" s="126">
        <f t="shared" si="7"/>
        <v>875000</v>
      </c>
      <c r="M40" s="126">
        <f t="shared" si="8"/>
        <v>2625000</v>
      </c>
      <c r="N40" s="126">
        <f t="shared" si="9"/>
        <v>300000</v>
      </c>
      <c r="O40" s="126" t="str">
        <f>VLOOKUP(M40,Tables!$E$4:$F$10,2,TRUE)</f>
        <v>Pro-Surance</v>
      </c>
    </row>
    <row r="41" spans="1:15" x14ac:dyDescent="0.35">
      <c r="A41" s="38" t="s">
        <v>167</v>
      </c>
      <c r="B41" s="38" t="s">
        <v>159</v>
      </c>
      <c r="C41" s="38" t="str">
        <f t="shared" si="3"/>
        <v>Drew Bender</v>
      </c>
      <c r="D41" s="126" t="s">
        <v>168</v>
      </c>
      <c r="E41" s="126" t="str">
        <f t="shared" si="4"/>
        <v>WA</v>
      </c>
      <c r="F41" s="126" t="s">
        <v>164</v>
      </c>
      <c r="G41" s="37" t="str">
        <f>VLOOKUP(F41,Tables!$A$4:$B$10,2,FALSE)</f>
        <v>COM</v>
      </c>
      <c r="H41" s="124">
        <v>40784</v>
      </c>
      <c r="I41" s="144">
        <f t="shared" si="5"/>
        <v>2011</v>
      </c>
      <c r="J41" s="144">
        <f t="shared" si="6"/>
        <v>8</v>
      </c>
      <c r="K41" s="126">
        <v>2163333.3333333298</v>
      </c>
      <c r="L41" s="126">
        <f t="shared" si="7"/>
        <v>1081666.6666666649</v>
      </c>
      <c r="M41" s="126">
        <f t="shared" si="8"/>
        <v>3244999.9999999944</v>
      </c>
      <c r="N41" s="126">
        <f t="shared" si="9"/>
        <v>300000</v>
      </c>
      <c r="O41" s="126" t="str">
        <f>VLOOKUP(M41,Tables!$E$4:$F$10,2,TRUE)</f>
        <v>Pro-Surance</v>
      </c>
    </row>
    <row r="42" spans="1:15" x14ac:dyDescent="0.35">
      <c r="A42" s="38" t="s">
        <v>169</v>
      </c>
      <c r="B42" s="38" t="s">
        <v>170</v>
      </c>
      <c r="C42" s="38" t="str">
        <f t="shared" si="3"/>
        <v>Ben Hart</v>
      </c>
      <c r="D42" s="126" t="s">
        <v>168</v>
      </c>
      <c r="E42" s="126" t="str">
        <f t="shared" si="4"/>
        <v>WA</v>
      </c>
      <c r="F42" s="126" t="s">
        <v>164</v>
      </c>
      <c r="G42" s="37" t="str">
        <f>VLOOKUP(F42,Tables!$A$4:$B$10,2,FALSE)</f>
        <v>COM</v>
      </c>
      <c r="H42" s="124">
        <v>41882</v>
      </c>
      <c r="I42" s="144">
        <f t="shared" si="5"/>
        <v>2014</v>
      </c>
      <c r="J42" s="144">
        <f t="shared" si="6"/>
        <v>8</v>
      </c>
      <c r="K42" s="126">
        <v>2057619.0476190499</v>
      </c>
      <c r="L42" s="126">
        <f t="shared" si="7"/>
        <v>1028809.523809525</v>
      </c>
      <c r="M42" s="126">
        <f t="shared" si="8"/>
        <v>3086428.5714285746</v>
      </c>
      <c r="N42" s="126">
        <f t="shared" si="9"/>
        <v>300000</v>
      </c>
      <c r="O42" s="126" t="str">
        <f>VLOOKUP(M42,Tables!$E$4:$F$10,2,TRUE)</f>
        <v>Pro-Surance</v>
      </c>
    </row>
    <row r="43" spans="1:15" x14ac:dyDescent="0.35">
      <c r="A43" s="38" t="s">
        <v>134</v>
      </c>
      <c r="B43" s="38" t="s">
        <v>171</v>
      </c>
      <c r="C43" s="38" t="str">
        <f t="shared" si="3"/>
        <v>Mindy Morgan</v>
      </c>
      <c r="D43" s="126" t="s">
        <v>168</v>
      </c>
      <c r="E43" s="126" t="str">
        <f t="shared" si="4"/>
        <v>WA</v>
      </c>
      <c r="F43" s="126" t="s">
        <v>117</v>
      </c>
      <c r="G43" s="37" t="str">
        <f>VLOOKUP(F43,Tables!$A$4:$B$10,2,FALSE)</f>
        <v>RES</v>
      </c>
      <c r="H43" s="124">
        <v>40240</v>
      </c>
      <c r="I43" s="144">
        <f t="shared" si="5"/>
        <v>2010</v>
      </c>
      <c r="J43" s="144">
        <f t="shared" si="6"/>
        <v>3</v>
      </c>
      <c r="K43" s="126">
        <v>3254500</v>
      </c>
      <c r="L43" s="126">
        <f t="shared" si="7"/>
        <v>1627250</v>
      </c>
      <c r="M43" s="126">
        <f t="shared" si="8"/>
        <v>4881750</v>
      </c>
      <c r="N43" s="126">
        <f t="shared" si="9"/>
        <v>300000</v>
      </c>
      <c r="O43" s="126" t="str">
        <f>VLOOKUP(M43,Tables!$E$4:$F$10,2,TRUE)</f>
        <v>Pro-Surance</v>
      </c>
    </row>
    <row r="44" spans="1:15" x14ac:dyDescent="0.35">
      <c r="A44" s="38" t="s">
        <v>172</v>
      </c>
      <c r="B44" s="38" t="s">
        <v>173</v>
      </c>
      <c r="C44" s="38" t="str">
        <f t="shared" si="3"/>
        <v>Dan Bruneau</v>
      </c>
      <c r="D44" s="126" t="s">
        <v>96</v>
      </c>
      <c r="E44" s="126" t="str">
        <f t="shared" si="4"/>
        <v>MD</v>
      </c>
      <c r="F44" s="126" t="s">
        <v>164</v>
      </c>
      <c r="G44" s="37" t="str">
        <f>VLOOKUP(F44,Tables!$A$4:$B$10,2,FALSE)</f>
        <v>COM</v>
      </c>
      <c r="H44" s="124">
        <v>39576</v>
      </c>
      <c r="I44" s="144">
        <f t="shared" si="5"/>
        <v>2008</v>
      </c>
      <c r="J44" s="144">
        <f t="shared" si="6"/>
        <v>5</v>
      </c>
      <c r="K44" s="126">
        <v>10690000</v>
      </c>
      <c r="L44" s="126">
        <f t="shared" si="7"/>
        <v>5345000</v>
      </c>
      <c r="M44" s="126">
        <f t="shared" si="8"/>
        <v>16035000</v>
      </c>
      <c r="N44" s="126">
        <f t="shared" si="9"/>
        <v>481050</v>
      </c>
      <c r="O44" s="126" t="str">
        <f>VLOOKUP(M44,Tables!$E$4:$F$10,2,TRUE)</f>
        <v xml:space="preserve">Aetna </v>
      </c>
    </row>
    <row r="45" spans="1:15" x14ac:dyDescent="0.35">
      <c r="A45" s="38" t="s">
        <v>174</v>
      </c>
      <c r="B45" s="38" t="s">
        <v>175</v>
      </c>
      <c r="C45" s="38" t="str">
        <f t="shared" si="3"/>
        <v>Katie Day</v>
      </c>
      <c r="D45" s="126" t="s">
        <v>176</v>
      </c>
      <c r="E45" s="126" t="str">
        <f t="shared" si="4"/>
        <v>PA</v>
      </c>
      <c r="F45" s="126" t="s">
        <v>97</v>
      </c>
      <c r="G45" s="37" t="str">
        <f>VLOOKUP(F45,Tables!$A$4:$B$10,2,FALSE)</f>
        <v>RES</v>
      </c>
      <c r="H45" s="124">
        <v>42553</v>
      </c>
      <c r="I45" s="144">
        <f t="shared" si="5"/>
        <v>2016</v>
      </c>
      <c r="J45" s="144">
        <f t="shared" si="6"/>
        <v>7</v>
      </c>
      <c r="K45" s="126">
        <v>1740476.1904761901</v>
      </c>
      <c r="L45" s="126">
        <f t="shared" si="7"/>
        <v>870238.09523809503</v>
      </c>
      <c r="M45" s="126">
        <f t="shared" si="8"/>
        <v>2610714.285714285</v>
      </c>
      <c r="N45" s="126">
        <f t="shared" si="9"/>
        <v>300000</v>
      </c>
      <c r="O45" s="126" t="str">
        <f>VLOOKUP(M45,Tables!$E$4:$F$10,2,TRUE)</f>
        <v>Pro-Surance</v>
      </c>
    </row>
    <row r="46" spans="1:15" x14ac:dyDescent="0.35">
      <c r="A46" s="38" t="s">
        <v>174</v>
      </c>
      <c r="B46" s="38" t="s">
        <v>177</v>
      </c>
      <c r="C46" s="38" t="str">
        <f t="shared" si="3"/>
        <v>Phil Day</v>
      </c>
      <c r="D46" s="126" t="s">
        <v>168</v>
      </c>
      <c r="E46" s="126" t="str">
        <f t="shared" si="4"/>
        <v>WA</v>
      </c>
      <c r="F46" s="126" t="s">
        <v>97</v>
      </c>
      <c r="G46" s="37" t="str">
        <f>VLOOKUP(F46,Tables!$A$4:$B$10,2,FALSE)</f>
        <v>RES</v>
      </c>
      <c r="H46" s="124">
        <v>42230</v>
      </c>
      <c r="I46" s="144">
        <f t="shared" si="5"/>
        <v>2015</v>
      </c>
      <c r="J46" s="144">
        <f t="shared" si="6"/>
        <v>8</v>
      </c>
      <c r="K46" s="126">
        <v>1634761.90476191</v>
      </c>
      <c r="L46" s="126">
        <f t="shared" si="7"/>
        <v>817380.95238095499</v>
      </c>
      <c r="M46" s="126">
        <f t="shared" si="8"/>
        <v>2452142.8571428647</v>
      </c>
      <c r="N46" s="126">
        <f t="shared" si="9"/>
        <v>300000</v>
      </c>
      <c r="O46" s="126" t="str">
        <f>VLOOKUP(M46,Tables!$E$4:$F$10,2,TRUE)</f>
        <v>Pro-Surance</v>
      </c>
    </row>
    <row r="47" spans="1:15" x14ac:dyDescent="0.35">
      <c r="A47" s="38" t="s">
        <v>125</v>
      </c>
      <c r="B47" s="38" t="s">
        <v>178</v>
      </c>
      <c r="C47" s="38" t="str">
        <f t="shared" si="3"/>
        <v>Greg Thompson</v>
      </c>
      <c r="D47" s="126" t="s">
        <v>210</v>
      </c>
      <c r="E47" s="126" t="str">
        <f t="shared" si="4"/>
        <v>MD</v>
      </c>
      <c r="F47" s="126" t="s">
        <v>108</v>
      </c>
      <c r="G47" s="37" t="str">
        <f>VLOOKUP(F47,Tables!$A$4:$B$10,2,FALSE)</f>
        <v>MULTI</v>
      </c>
      <c r="H47" s="124">
        <v>38628</v>
      </c>
      <c r="I47" s="144">
        <f t="shared" si="5"/>
        <v>2005</v>
      </c>
      <c r="J47" s="144">
        <f t="shared" si="6"/>
        <v>10</v>
      </c>
      <c r="K47" s="126">
        <v>1500000</v>
      </c>
      <c r="L47" s="126">
        <f t="shared" si="7"/>
        <v>750000</v>
      </c>
      <c r="M47" s="126">
        <f t="shared" si="8"/>
        <v>2250000</v>
      </c>
      <c r="N47" s="126">
        <f t="shared" si="9"/>
        <v>300000</v>
      </c>
      <c r="O47" s="126" t="str">
        <f>VLOOKUP(M47,Tables!$E$4:$F$10,2,TRUE)</f>
        <v>Pro-Surance</v>
      </c>
    </row>
    <row r="48" spans="1:15" x14ac:dyDescent="0.35">
      <c r="A48" s="38" t="s">
        <v>179</v>
      </c>
      <c r="B48" s="38" t="s">
        <v>180</v>
      </c>
      <c r="C48" s="38" t="str">
        <f t="shared" si="3"/>
        <v>Holly Stratton</v>
      </c>
      <c r="D48" s="126" t="s">
        <v>142</v>
      </c>
      <c r="E48" s="126" t="str">
        <f t="shared" si="4"/>
        <v>MD</v>
      </c>
      <c r="F48" s="126" t="s">
        <v>51</v>
      </c>
      <c r="G48" s="37" t="str">
        <f>VLOOKUP(F48,Tables!$A$4:$B$10,2,FALSE)</f>
        <v>COM</v>
      </c>
      <c r="H48" s="124">
        <v>42058</v>
      </c>
      <c r="I48" s="144">
        <f t="shared" si="5"/>
        <v>2015</v>
      </c>
      <c r="J48" s="144">
        <f t="shared" si="6"/>
        <v>2</v>
      </c>
      <c r="K48" s="126">
        <v>11000000</v>
      </c>
      <c r="L48" s="126">
        <f t="shared" si="7"/>
        <v>5500000</v>
      </c>
      <c r="M48" s="126">
        <f t="shared" si="8"/>
        <v>16500000</v>
      </c>
      <c r="N48" s="126">
        <f t="shared" si="9"/>
        <v>495000</v>
      </c>
      <c r="O48" s="126" t="str">
        <f>VLOOKUP(M48,Tables!$E$4:$F$10,2,TRUE)</f>
        <v xml:space="preserve">Aetna </v>
      </c>
    </row>
    <row r="49" spans="1:15" x14ac:dyDescent="0.35">
      <c r="A49" s="38" t="s">
        <v>181</v>
      </c>
      <c r="B49" s="38" t="s">
        <v>182</v>
      </c>
      <c r="C49" s="38" t="str">
        <f t="shared" si="3"/>
        <v>Joe Faass</v>
      </c>
      <c r="D49" s="126" t="s">
        <v>116</v>
      </c>
      <c r="E49" s="126" t="str">
        <f t="shared" si="4"/>
        <v>MD</v>
      </c>
      <c r="F49" s="126" t="s">
        <v>51</v>
      </c>
      <c r="G49" s="37" t="str">
        <f>VLOOKUP(F49,Tables!$A$4:$B$10,2,FALSE)</f>
        <v>COM</v>
      </c>
      <c r="H49" s="124">
        <v>42821</v>
      </c>
      <c r="I49" s="144">
        <f t="shared" si="5"/>
        <v>2017</v>
      </c>
      <c r="J49" s="144">
        <f t="shared" si="6"/>
        <v>3</v>
      </c>
      <c r="K49" s="126">
        <v>7500000</v>
      </c>
      <c r="L49" s="126">
        <f t="shared" si="7"/>
        <v>3750000</v>
      </c>
      <c r="M49" s="126">
        <f t="shared" si="8"/>
        <v>11250000</v>
      </c>
      <c r="N49" s="126">
        <f t="shared" si="9"/>
        <v>337500</v>
      </c>
      <c r="O49" s="126" t="str">
        <f>VLOOKUP(M49,Tables!$E$4:$F$10,2,TRUE)</f>
        <v xml:space="preserve">Aetna </v>
      </c>
    </row>
    <row r="50" spans="1:15" x14ac:dyDescent="0.35">
      <c r="A50" s="38" t="s">
        <v>181</v>
      </c>
      <c r="B50" s="38" t="s">
        <v>183</v>
      </c>
      <c r="C50" s="38" t="str">
        <f t="shared" si="3"/>
        <v>Wendy Faass</v>
      </c>
      <c r="D50" s="126" t="s">
        <v>116</v>
      </c>
      <c r="E50" s="126" t="str">
        <f t="shared" si="4"/>
        <v>MD</v>
      </c>
      <c r="F50" s="126" t="s">
        <v>51</v>
      </c>
      <c r="G50" s="37" t="str">
        <f>VLOOKUP(F50,Tables!$A$4:$B$10,2,FALSE)</f>
        <v>COM</v>
      </c>
      <c r="H50" s="124">
        <v>39168</v>
      </c>
      <c r="I50" s="144">
        <f t="shared" si="5"/>
        <v>2007</v>
      </c>
      <c r="J50" s="144">
        <f t="shared" si="6"/>
        <v>3</v>
      </c>
      <c r="K50" s="126">
        <v>4000000</v>
      </c>
      <c r="L50" s="126">
        <f t="shared" si="7"/>
        <v>2000000</v>
      </c>
      <c r="M50" s="126">
        <f t="shared" si="8"/>
        <v>6000000</v>
      </c>
      <c r="N50" s="126">
        <f t="shared" si="9"/>
        <v>300000</v>
      </c>
      <c r="O50" s="126" t="str">
        <f>VLOOKUP(M50,Tables!$E$4:$F$10,2,TRUE)</f>
        <v>ABC Co</v>
      </c>
    </row>
    <row r="51" spans="1:15" x14ac:dyDescent="0.35">
      <c r="A51" s="38" t="s">
        <v>184</v>
      </c>
      <c r="B51" s="38" t="s">
        <v>185</v>
      </c>
      <c r="C51" s="38" t="str">
        <f t="shared" si="3"/>
        <v>Beth Hershner</v>
      </c>
      <c r="D51" s="126" t="s">
        <v>107</v>
      </c>
      <c r="E51" s="126" t="str">
        <f t="shared" si="4"/>
        <v>VA</v>
      </c>
      <c r="F51" s="126" t="s">
        <v>101</v>
      </c>
      <c r="G51" s="37" t="str">
        <f>VLOOKUP(F51,Tables!$A$4:$B$10,2,FALSE)</f>
        <v>COM</v>
      </c>
      <c r="H51" s="124">
        <v>42396</v>
      </c>
      <c r="I51" s="144">
        <f t="shared" si="5"/>
        <v>2016</v>
      </c>
      <c r="J51" s="144">
        <f t="shared" si="6"/>
        <v>1</v>
      </c>
      <c r="K51" s="126">
        <v>11800000</v>
      </c>
      <c r="L51" s="126">
        <f t="shared" si="7"/>
        <v>5900000</v>
      </c>
      <c r="M51" s="126">
        <f t="shared" si="8"/>
        <v>17700000</v>
      </c>
      <c r="N51" s="126">
        <f t="shared" si="9"/>
        <v>531000</v>
      </c>
      <c r="O51" s="126" t="str">
        <f>VLOOKUP(M51,Tables!$E$4:$F$10,2,TRUE)</f>
        <v xml:space="preserve">Aetna </v>
      </c>
    </row>
    <row r="52" spans="1:15" x14ac:dyDescent="0.35">
      <c r="A52" s="38" t="s">
        <v>186</v>
      </c>
      <c r="B52" s="38" t="s">
        <v>187</v>
      </c>
      <c r="C52" s="38" t="str">
        <f t="shared" si="3"/>
        <v>David Carter</v>
      </c>
      <c r="D52" s="126" t="s">
        <v>168</v>
      </c>
      <c r="E52" s="126" t="str">
        <f t="shared" si="4"/>
        <v>WA</v>
      </c>
      <c r="F52" s="126" t="s">
        <v>101</v>
      </c>
      <c r="G52" s="37" t="str">
        <f>VLOOKUP(F52,Tables!$A$4:$B$10,2,FALSE)</f>
        <v>COM</v>
      </c>
      <c r="H52" s="124">
        <v>39982</v>
      </c>
      <c r="I52" s="144">
        <f t="shared" si="5"/>
        <v>2009</v>
      </c>
      <c r="J52" s="144">
        <f t="shared" si="6"/>
        <v>6</v>
      </c>
      <c r="K52" s="126">
        <v>4500000</v>
      </c>
      <c r="L52" s="126">
        <f t="shared" si="7"/>
        <v>2250000</v>
      </c>
      <c r="M52" s="126">
        <f t="shared" si="8"/>
        <v>6750000</v>
      </c>
      <c r="N52" s="126">
        <f t="shared" si="9"/>
        <v>300000</v>
      </c>
      <c r="O52" s="126" t="str">
        <f>VLOOKUP(M52,Tables!$E$4:$F$10,2,TRUE)</f>
        <v>ABC Co</v>
      </c>
    </row>
    <row r="53" spans="1:15" x14ac:dyDescent="0.35">
      <c r="A53" s="38" t="s">
        <v>188</v>
      </c>
      <c r="B53" s="38" t="s">
        <v>189</v>
      </c>
      <c r="C53" s="38" t="str">
        <f t="shared" si="3"/>
        <v>Tim Myers</v>
      </c>
      <c r="D53" s="126" t="s">
        <v>116</v>
      </c>
      <c r="E53" s="126" t="str">
        <f t="shared" si="4"/>
        <v>MD</v>
      </c>
      <c r="F53" s="126" t="s">
        <v>97</v>
      </c>
      <c r="G53" s="37" t="str">
        <f>VLOOKUP(F53,Tables!$A$4:$B$10,2,FALSE)</f>
        <v>RES</v>
      </c>
      <c r="H53" s="124">
        <v>39755</v>
      </c>
      <c r="I53" s="144">
        <f t="shared" si="5"/>
        <v>2008</v>
      </c>
      <c r="J53" s="144">
        <f t="shared" si="6"/>
        <v>11</v>
      </c>
      <c r="K53" s="126">
        <v>16000000</v>
      </c>
      <c r="L53" s="126">
        <f t="shared" si="7"/>
        <v>8000000</v>
      </c>
      <c r="M53" s="126">
        <f t="shared" si="8"/>
        <v>24000000</v>
      </c>
      <c r="N53" s="126">
        <f t="shared" si="9"/>
        <v>720000</v>
      </c>
      <c r="O53" s="126" t="str">
        <f>VLOOKUP(M53,Tables!$E$4:$F$10,2,TRUE)</f>
        <v xml:space="preserve">Aetna </v>
      </c>
    </row>
    <row r="54" spans="1:15" x14ac:dyDescent="0.35">
      <c r="A54" s="38" t="s">
        <v>165</v>
      </c>
      <c r="B54" s="38" t="s">
        <v>190</v>
      </c>
      <c r="C54" s="38" t="str">
        <f t="shared" si="3"/>
        <v>Michael Bozman</v>
      </c>
      <c r="D54" s="126" t="s">
        <v>160</v>
      </c>
      <c r="E54" s="126" t="str">
        <f t="shared" si="4"/>
        <v>MD</v>
      </c>
      <c r="F54" s="126" t="s">
        <v>97</v>
      </c>
      <c r="G54" s="37" t="str">
        <f>VLOOKUP(F54,Tables!$A$4:$B$10,2,FALSE)</f>
        <v>RES</v>
      </c>
      <c r="H54" s="124">
        <v>42886</v>
      </c>
      <c r="I54" s="144">
        <f t="shared" si="5"/>
        <v>2017</v>
      </c>
      <c r="J54" s="144">
        <f t="shared" si="6"/>
        <v>5</v>
      </c>
      <c r="K54" s="126">
        <v>4200000</v>
      </c>
      <c r="L54" s="126">
        <f t="shared" si="7"/>
        <v>2100000</v>
      </c>
      <c r="M54" s="126">
        <f t="shared" si="8"/>
        <v>6300000</v>
      </c>
      <c r="N54" s="126">
        <f t="shared" si="9"/>
        <v>300000</v>
      </c>
      <c r="O54" s="126" t="str">
        <f>VLOOKUP(M54,Tables!$E$4:$F$10,2,TRUE)</f>
        <v>ABC Co</v>
      </c>
    </row>
    <row r="55" spans="1:15" x14ac:dyDescent="0.35">
      <c r="A55" s="38" t="s">
        <v>191</v>
      </c>
      <c r="B55" s="38" t="s">
        <v>192</v>
      </c>
      <c r="C55" s="38" t="str">
        <f t="shared" si="3"/>
        <v>Vicki Heland</v>
      </c>
      <c r="D55" s="126" t="s">
        <v>132</v>
      </c>
      <c r="E55" s="126" t="str">
        <f t="shared" si="4"/>
        <v>VA</v>
      </c>
      <c r="F55" s="126" t="s">
        <v>97</v>
      </c>
      <c r="G55" s="37" t="str">
        <f>VLOOKUP(F55,Tables!$A$4:$B$10,2,FALSE)</f>
        <v>RES</v>
      </c>
      <c r="H55" s="124">
        <v>41885</v>
      </c>
      <c r="I55" s="144">
        <f t="shared" si="5"/>
        <v>2014</v>
      </c>
      <c r="J55" s="144">
        <f t="shared" si="6"/>
        <v>9</v>
      </c>
      <c r="K55" s="126">
        <v>6000000</v>
      </c>
      <c r="L55" s="126">
        <f t="shared" si="7"/>
        <v>3000000</v>
      </c>
      <c r="M55" s="126">
        <f t="shared" si="8"/>
        <v>9000000</v>
      </c>
      <c r="N55" s="126">
        <f t="shared" si="9"/>
        <v>300000</v>
      </c>
      <c r="O55" s="126" t="str">
        <f>VLOOKUP(M55,Tables!$E$4:$F$10,2,TRUE)</f>
        <v>ABC Co</v>
      </c>
    </row>
    <row r="56" spans="1:15" x14ac:dyDescent="0.35">
      <c r="A56" s="38" t="s">
        <v>193</v>
      </c>
      <c r="B56" s="38" t="s">
        <v>194</v>
      </c>
      <c r="C56" s="38" t="str">
        <f t="shared" si="3"/>
        <v>Andrew Tilghman</v>
      </c>
      <c r="D56" s="126" t="s">
        <v>100</v>
      </c>
      <c r="E56" s="126" t="str">
        <f t="shared" si="4"/>
        <v>MD</v>
      </c>
      <c r="F56" s="126" t="s">
        <v>117</v>
      </c>
      <c r="G56" s="37" t="str">
        <f>VLOOKUP(F56,Tables!$A$4:$B$10,2,FALSE)</f>
        <v>RES</v>
      </c>
      <c r="H56" s="124">
        <v>42338</v>
      </c>
      <c r="I56" s="144">
        <f t="shared" si="5"/>
        <v>2015</v>
      </c>
      <c r="J56" s="144">
        <f t="shared" si="6"/>
        <v>11</v>
      </c>
      <c r="K56" s="126">
        <v>9000000</v>
      </c>
      <c r="L56" s="126">
        <f t="shared" si="7"/>
        <v>4500000</v>
      </c>
      <c r="M56" s="126">
        <f t="shared" si="8"/>
        <v>13500000</v>
      </c>
      <c r="N56" s="126">
        <f t="shared" si="9"/>
        <v>405000</v>
      </c>
      <c r="O56" s="126" t="str">
        <f>VLOOKUP(M56,Tables!$E$4:$F$10,2,TRUE)</f>
        <v xml:space="preserve">Aetna </v>
      </c>
    </row>
    <row r="57" spans="1:15" x14ac:dyDescent="0.35">
      <c r="A57" s="38" t="s">
        <v>188</v>
      </c>
      <c r="B57" s="38" t="s">
        <v>192</v>
      </c>
      <c r="C57" s="38" t="str">
        <f t="shared" si="3"/>
        <v>Vicki Myers</v>
      </c>
      <c r="D57" s="126" t="s">
        <v>116</v>
      </c>
      <c r="E57" s="126" t="str">
        <f t="shared" si="4"/>
        <v>MD</v>
      </c>
      <c r="F57" s="126" t="s">
        <v>117</v>
      </c>
      <c r="G57" s="37" t="str">
        <f>VLOOKUP(F57,Tables!$A$4:$B$10,2,FALSE)</f>
        <v>RES</v>
      </c>
      <c r="H57" s="124">
        <v>41121</v>
      </c>
      <c r="I57" s="144">
        <f t="shared" si="5"/>
        <v>2012</v>
      </c>
      <c r="J57" s="144">
        <f t="shared" si="6"/>
        <v>7</v>
      </c>
      <c r="K57" s="126">
        <v>3100000</v>
      </c>
      <c r="L57" s="126">
        <f t="shared" si="7"/>
        <v>1550000</v>
      </c>
      <c r="M57" s="126">
        <f t="shared" si="8"/>
        <v>4650000</v>
      </c>
      <c r="N57" s="126">
        <f t="shared" si="9"/>
        <v>300000</v>
      </c>
      <c r="O57" s="126" t="str">
        <f>VLOOKUP(M57,Tables!$E$4:$F$10,2,TRUE)</f>
        <v>Pro-Surance</v>
      </c>
    </row>
    <row r="58" spans="1:15" x14ac:dyDescent="0.35">
      <c r="A58" s="38" t="s">
        <v>195</v>
      </c>
      <c r="B58" s="38" t="s">
        <v>196</v>
      </c>
      <c r="C58" s="38" t="str">
        <f t="shared" si="3"/>
        <v>Gary Homan</v>
      </c>
      <c r="D58" s="126" t="s">
        <v>160</v>
      </c>
      <c r="E58" s="126" t="str">
        <f t="shared" si="4"/>
        <v>MD</v>
      </c>
      <c r="F58" s="126" t="s">
        <v>51</v>
      </c>
      <c r="G58" s="37" t="str">
        <f>VLOOKUP(F58,Tables!$A$4:$B$10,2,FALSE)</f>
        <v>COM</v>
      </c>
      <c r="H58" s="124">
        <v>37691</v>
      </c>
      <c r="I58" s="144">
        <f t="shared" si="5"/>
        <v>2003</v>
      </c>
      <c r="J58" s="144">
        <f t="shared" si="6"/>
        <v>3</v>
      </c>
      <c r="K58" s="126">
        <v>5790000</v>
      </c>
      <c r="L58" s="126">
        <f t="shared" si="7"/>
        <v>2895000</v>
      </c>
      <c r="M58" s="126">
        <f t="shared" si="8"/>
        <v>8685000</v>
      </c>
      <c r="N58" s="126">
        <f t="shared" si="9"/>
        <v>300000</v>
      </c>
      <c r="O58" s="126" t="str">
        <f>VLOOKUP(M58,Tables!$E$4:$F$10,2,TRUE)</f>
        <v>ABC Co</v>
      </c>
    </row>
    <row r="59" spans="1:15" x14ac:dyDescent="0.35">
      <c r="A59" s="38" t="s">
        <v>197</v>
      </c>
      <c r="B59" s="38" t="s">
        <v>198</v>
      </c>
      <c r="C59" s="38" t="str">
        <f t="shared" si="3"/>
        <v>Ken Roepe</v>
      </c>
      <c r="D59" s="126" t="s">
        <v>168</v>
      </c>
      <c r="E59" s="126" t="str">
        <f t="shared" si="4"/>
        <v>WA</v>
      </c>
      <c r="F59" s="126" t="s">
        <v>108</v>
      </c>
      <c r="G59" s="37" t="str">
        <f>VLOOKUP(F59,Tables!$A$4:$B$10,2,FALSE)</f>
        <v>MULTI</v>
      </c>
      <c r="H59" s="124">
        <v>42132</v>
      </c>
      <c r="I59" s="144">
        <f t="shared" si="5"/>
        <v>2015</v>
      </c>
      <c r="J59" s="144">
        <f t="shared" si="6"/>
        <v>5</v>
      </c>
      <c r="K59" s="126">
        <v>5337777.7777778003</v>
      </c>
      <c r="L59" s="126">
        <f t="shared" si="7"/>
        <v>2668888.8888889002</v>
      </c>
      <c r="M59" s="126">
        <f t="shared" si="8"/>
        <v>8006666.6666667005</v>
      </c>
      <c r="N59" s="126">
        <f t="shared" si="9"/>
        <v>300000</v>
      </c>
      <c r="O59" s="126" t="str">
        <f>VLOOKUP(M59,Tables!$E$4:$F$10,2,TRUE)</f>
        <v>ABC Co</v>
      </c>
    </row>
    <row r="60" spans="1:15" x14ac:dyDescent="0.35">
      <c r="A60" s="38" t="s">
        <v>199</v>
      </c>
      <c r="B60" s="38" t="s">
        <v>150</v>
      </c>
      <c r="C60" s="38" t="str">
        <f t="shared" si="3"/>
        <v>Marsha Kessler</v>
      </c>
      <c r="D60" s="126" t="s">
        <v>116</v>
      </c>
      <c r="E60" s="126" t="str">
        <f t="shared" si="4"/>
        <v>MD</v>
      </c>
      <c r="F60" s="126" t="s">
        <v>97</v>
      </c>
      <c r="G60" s="37" t="str">
        <f>VLOOKUP(F60,Tables!$A$4:$B$10,2,FALSE)</f>
        <v>RES</v>
      </c>
      <c r="H60" s="124">
        <v>40999</v>
      </c>
      <c r="I60" s="144">
        <f t="shared" si="5"/>
        <v>2012</v>
      </c>
      <c r="J60" s="144">
        <f t="shared" si="6"/>
        <v>3</v>
      </c>
      <c r="K60" s="126">
        <v>7800000</v>
      </c>
      <c r="L60" s="126">
        <f t="shared" si="7"/>
        <v>3900000</v>
      </c>
      <c r="M60" s="126">
        <f t="shared" si="8"/>
        <v>11700000</v>
      </c>
      <c r="N60" s="126">
        <f t="shared" si="9"/>
        <v>351000</v>
      </c>
      <c r="O60" s="126" t="str">
        <f>VLOOKUP(M60,Tables!$E$4:$F$10,2,TRUE)</f>
        <v xml:space="preserve">Aetna </v>
      </c>
    </row>
    <row r="61" spans="1:15" x14ac:dyDescent="0.35">
      <c r="A61" s="38" t="s">
        <v>200</v>
      </c>
      <c r="B61" s="38" t="s">
        <v>115</v>
      </c>
      <c r="C61" s="38" t="str">
        <f t="shared" si="3"/>
        <v>Pat DeLorenzo</v>
      </c>
      <c r="D61" s="126" t="s">
        <v>116</v>
      </c>
      <c r="E61" s="126" t="str">
        <f t="shared" si="4"/>
        <v>MD</v>
      </c>
      <c r="F61" s="126" t="s">
        <v>51</v>
      </c>
      <c r="G61" s="37" t="str">
        <f>VLOOKUP(F61,Tables!$A$4:$B$10,2,FALSE)</f>
        <v>COM</v>
      </c>
      <c r="H61" s="124">
        <v>38552</v>
      </c>
      <c r="I61" s="144">
        <f t="shared" si="5"/>
        <v>2005</v>
      </c>
      <c r="J61" s="144">
        <f t="shared" si="6"/>
        <v>7</v>
      </c>
      <c r="K61" s="126">
        <v>4717575.7575757597</v>
      </c>
      <c r="L61" s="126">
        <f t="shared" si="7"/>
        <v>2358787.8787878798</v>
      </c>
      <c r="M61" s="126">
        <f t="shared" si="8"/>
        <v>7076363.6363636395</v>
      </c>
      <c r="N61" s="126">
        <f t="shared" si="9"/>
        <v>300000</v>
      </c>
      <c r="O61" s="126" t="str">
        <f>VLOOKUP(M61,Tables!$E$4:$F$10,2,TRUE)</f>
        <v>ABC Co</v>
      </c>
    </row>
    <row r="62" spans="1:15" x14ac:dyDescent="0.35">
      <c r="A62" s="38" t="s">
        <v>186</v>
      </c>
      <c r="B62" s="38" t="s">
        <v>201</v>
      </c>
      <c r="C62" s="38" t="str">
        <f t="shared" si="3"/>
        <v>Lisa Carter</v>
      </c>
      <c r="D62" s="126" t="s">
        <v>145</v>
      </c>
      <c r="E62" s="126" t="str">
        <f t="shared" si="4"/>
        <v>MD</v>
      </c>
      <c r="F62" s="126" t="s">
        <v>51</v>
      </c>
      <c r="G62" s="37" t="str">
        <f>VLOOKUP(F62,Tables!$A$4:$B$10,2,FALSE)</f>
        <v>COM</v>
      </c>
      <c r="H62" s="124">
        <v>39059</v>
      </c>
      <c r="I62" s="144">
        <f t="shared" si="5"/>
        <v>2006</v>
      </c>
      <c r="J62" s="144">
        <f t="shared" si="6"/>
        <v>12</v>
      </c>
      <c r="K62" s="126">
        <v>7209800</v>
      </c>
      <c r="L62" s="126">
        <f t="shared" si="7"/>
        <v>3604900</v>
      </c>
      <c r="M62" s="126">
        <f t="shared" si="8"/>
        <v>10814700</v>
      </c>
      <c r="N62" s="126">
        <f t="shared" si="9"/>
        <v>324441</v>
      </c>
      <c r="O62" s="126" t="str">
        <f>VLOOKUP(M62,Tables!$E$4:$F$10,2,TRUE)</f>
        <v xml:space="preserve">Aetna </v>
      </c>
    </row>
    <row r="63" spans="1:15" x14ac:dyDescent="0.35">
      <c r="A63" s="38" t="s">
        <v>111</v>
      </c>
      <c r="B63" s="38" t="s">
        <v>187</v>
      </c>
      <c r="C63" s="38" t="str">
        <f t="shared" si="3"/>
        <v>David Moore</v>
      </c>
      <c r="D63" s="126" t="s">
        <v>153</v>
      </c>
      <c r="E63" s="126" t="str">
        <f t="shared" si="4"/>
        <v>MD</v>
      </c>
      <c r="F63" s="126" t="s">
        <v>108</v>
      </c>
      <c r="G63" s="37" t="str">
        <f>VLOOKUP(F63,Tables!$A$4:$B$10,2,FALSE)</f>
        <v>MULTI</v>
      </c>
      <c r="H63" s="124">
        <v>41754</v>
      </c>
      <c r="I63" s="144">
        <f t="shared" si="5"/>
        <v>2014</v>
      </c>
      <c r="J63" s="144">
        <f t="shared" si="6"/>
        <v>4</v>
      </c>
      <c r="K63" s="126">
        <v>8990000</v>
      </c>
      <c r="L63" s="126">
        <f t="shared" si="7"/>
        <v>4495000</v>
      </c>
      <c r="M63" s="126">
        <f t="shared" si="8"/>
        <v>13485000</v>
      </c>
      <c r="N63" s="126">
        <f t="shared" si="9"/>
        <v>404550</v>
      </c>
      <c r="O63" s="126" t="str">
        <f>VLOOKUP(M63,Tables!$E$4:$F$10,2,TRUE)</f>
        <v xml:space="preserve">Aetna </v>
      </c>
    </row>
  </sheetData>
  <autoFilter ref="A8:O63" xr:uid="{00000000-0009-0000-0000-000006000000}"/>
  <printOptions headings="1" gridLines="1"/>
  <pageMargins left="0.2" right="0.2" top="0.5" bottom="0.5" header="0.2" footer="0.2"/>
  <pageSetup scale="59" orientation="landscape" horizontalDpi="300" verticalDpi="300" r:id="rId1"/>
  <headerFooter>
    <oddFooter>&amp;L&amp;10Printed:  &amp;D  &amp;T&amp;CPage &amp;P of &amp;N&amp;R&amp;10&amp;A</oddFooter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I10"/>
  <sheetViews>
    <sheetView zoomScale="180" zoomScaleNormal="180" workbookViewId="0">
      <selection activeCell="F10" sqref="F10"/>
    </sheetView>
  </sheetViews>
  <sheetFormatPr defaultColWidth="9.1796875" defaultRowHeight="13" x14ac:dyDescent="0.3"/>
  <cols>
    <col min="1" max="1" width="14.1796875" style="99" customWidth="1"/>
    <col min="2" max="2" width="9.1796875" style="99"/>
    <col min="3" max="3" width="9.26953125" style="99" customWidth="1"/>
    <col min="4" max="4" width="9.1796875" style="99"/>
    <col min="5" max="5" width="14" style="148" bestFit="1" customWidth="1"/>
    <col min="6" max="6" width="11.7265625" style="99" bestFit="1" customWidth="1"/>
    <col min="7" max="7" width="9.1796875" style="99"/>
    <col min="8" max="8" width="15" style="145" bestFit="1" customWidth="1"/>
    <col min="9" max="16384" width="9.1796875" style="99"/>
  </cols>
  <sheetData>
    <row r="1" spans="1:9" ht="14.5" x14ac:dyDescent="0.35">
      <c r="A1" s="115" t="s">
        <v>262</v>
      </c>
      <c r="E1" s="115" t="s">
        <v>225</v>
      </c>
    </row>
    <row r="3" spans="1:9" ht="26.5" thickBot="1" x14ac:dyDescent="0.35">
      <c r="A3" s="146" t="s">
        <v>202</v>
      </c>
      <c r="B3" s="146" t="s">
        <v>203</v>
      </c>
      <c r="E3" s="147" t="s">
        <v>224</v>
      </c>
      <c r="F3" s="119" t="s">
        <v>223</v>
      </c>
      <c r="G3" s="119" t="s">
        <v>222</v>
      </c>
      <c r="H3" s="119" t="s">
        <v>208</v>
      </c>
    </row>
    <row r="4" spans="1:9" x14ac:dyDescent="0.3">
      <c r="A4" s="99" t="s">
        <v>97</v>
      </c>
      <c r="B4" s="99" t="s">
        <v>204</v>
      </c>
      <c r="E4" s="148">
        <v>0</v>
      </c>
      <c r="F4" s="99" t="s">
        <v>221</v>
      </c>
      <c r="G4" s="149"/>
      <c r="H4" s="150"/>
      <c r="I4" s="151" t="s">
        <v>220</v>
      </c>
    </row>
    <row r="5" spans="1:9" x14ac:dyDescent="0.3">
      <c r="A5" s="99" t="s">
        <v>117</v>
      </c>
      <c r="B5" s="99" t="s">
        <v>204</v>
      </c>
      <c r="E5" s="148">
        <v>500000</v>
      </c>
      <c r="F5" s="99" t="s">
        <v>219</v>
      </c>
      <c r="G5" s="149"/>
      <c r="H5" s="150"/>
    </row>
    <row r="6" spans="1:9" x14ac:dyDescent="0.3">
      <c r="A6" s="99" t="s">
        <v>133</v>
      </c>
      <c r="B6" s="99" t="s">
        <v>205</v>
      </c>
      <c r="E6" s="148">
        <v>1000000</v>
      </c>
      <c r="F6" s="99" t="s">
        <v>218</v>
      </c>
      <c r="G6" s="149"/>
      <c r="H6" s="150"/>
    </row>
    <row r="7" spans="1:9" x14ac:dyDescent="0.3">
      <c r="A7" s="99" t="s">
        <v>108</v>
      </c>
      <c r="B7" s="99" t="s">
        <v>206</v>
      </c>
      <c r="E7" s="148">
        <v>5000000</v>
      </c>
      <c r="F7" s="99" t="s">
        <v>217</v>
      </c>
      <c r="G7" s="149"/>
      <c r="H7" s="150"/>
    </row>
    <row r="8" spans="1:9" x14ac:dyDescent="0.3">
      <c r="A8" s="99" t="s">
        <v>51</v>
      </c>
      <c r="B8" s="99" t="s">
        <v>205</v>
      </c>
      <c r="E8" s="148">
        <v>10000000</v>
      </c>
      <c r="F8" s="99" t="s">
        <v>216</v>
      </c>
      <c r="G8" s="149"/>
      <c r="H8" s="150"/>
    </row>
    <row r="9" spans="1:9" x14ac:dyDescent="0.3">
      <c r="A9" s="99" t="s">
        <v>101</v>
      </c>
      <c r="B9" s="99" t="s">
        <v>205</v>
      </c>
      <c r="E9" s="148">
        <v>25000000</v>
      </c>
      <c r="F9" s="99" t="s">
        <v>215</v>
      </c>
      <c r="G9" s="149"/>
      <c r="H9" s="150"/>
    </row>
    <row r="10" spans="1:9" x14ac:dyDescent="0.3">
      <c r="A10" s="99" t="s">
        <v>164</v>
      </c>
      <c r="B10" s="99" t="s">
        <v>205</v>
      </c>
      <c r="E10" s="148">
        <v>50000000</v>
      </c>
      <c r="F10" s="99" t="s">
        <v>214</v>
      </c>
      <c r="G10" s="149"/>
      <c r="H10" s="150"/>
    </row>
  </sheetData>
  <printOptions headings="1" gridLines="1"/>
  <pageMargins left="0.2" right="0.2" top="0.5" bottom="0.5" header="0.2" footer="0.2"/>
  <pageSetup orientation="landscape" r:id="rId1"/>
  <headerFooter>
    <oddFooter>&amp;L&amp;10Printed:  &amp;D  &amp;T&amp;CPage &amp;P of &amp;N&amp;R&amp;10&amp;A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pageSetUpPr fitToPage="1"/>
  </sheetPr>
  <dimension ref="A1:J13"/>
  <sheetViews>
    <sheetView zoomScale="175" zoomScaleNormal="175" workbookViewId="0">
      <selection activeCell="F8" sqref="F8"/>
    </sheetView>
  </sheetViews>
  <sheetFormatPr defaultRowHeight="14.5" x14ac:dyDescent="0.35"/>
  <cols>
    <col min="1" max="1" width="14.54296875" customWidth="1"/>
    <col min="2" max="2" width="10.54296875" bestFit="1" customWidth="1"/>
    <col min="8" max="8" width="8.81640625" style="69"/>
  </cols>
  <sheetData>
    <row r="1" spans="1:10" ht="18.5" x14ac:dyDescent="0.45">
      <c r="A1" s="68" t="s">
        <v>243</v>
      </c>
    </row>
    <row r="3" spans="1:10" ht="29" x14ac:dyDescent="0.35">
      <c r="B3" s="70" t="s">
        <v>82</v>
      </c>
      <c r="C3" s="70" t="s">
        <v>244</v>
      </c>
      <c r="D3" s="70" t="s">
        <v>245</v>
      </c>
      <c r="E3" s="71" t="s">
        <v>246</v>
      </c>
      <c r="F3" s="71" t="s">
        <v>247</v>
      </c>
      <c r="G3" s="72"/>
      <c r="H3" s="73" t="s">
        <v>248</v>
      </c>
      <c r="I3" s="71" t="s">
        <v>249</v>
      </c>
      <c r="J3" s="71" t="s">
        <v>250</v>
      </c>
    </row>
    <row r="4" spans="1:10" x14ac:dyDescent="0.35">
      <c r="A4" t="s">
        <v>251</v>
      </c>
      <c r="B4" s="74">
        <v>15</v>
      </c>
      <c r="C4" s="74">
        <v>25</v>
      </c>
      <c r="D4" s="74">
        <v>10</v>
      </c>
      <c r="E4" s="75">
        <f>B4*$D4</f>
        <v>150</v>
      </c>
      <c r="F4" s="75">
        <f>C4*$D4</f>
        <v>250</v>
      </c>
      <c r="H4" s="69">
        <v>1</v>
      </c>
      <c r="I4" s="76">
        <f>D4*H4</f>
        <v>10</v>
      </c>
      <c r="J4">
        <v>75</v>
      </c>
    </row>
    <row r="5" spans="1:10" x14ac:dyDescent="0.35">
      <c r="A5" t="s">
        <v>252</v>
      </c>
      <c r="B5" s="74">
        <v>30</v>
      </c>
      <c r="C5" s="74">
        <v>55</v>
      </c>
      <c r="D5" s="74">
        <v>20</v>
      </c>
      <c r="E5" s="75">
        <f t="shared" ref="E5:F6" si="0">B5*$D5</f>
        <v>600</v>
      </c>
      <c r="F5" s="75">
        <f t="shared" si="0"/>
        <v>1100</v>
      </c>
      <c r="H5" s="69">
        <v>2</v>
      </c>
      <c r="I5" s="76">
        <f t="shared" ref="I5:I6" si="1">D5*H5</f>
        <v>40</v>
      </c>
      <c r="J5">
        <v>40</v>
      </c>
    </row>
    <row r="6" spans="1:10" x14ac:dyDescent="0.35">
      <c r="A6" t="s">
        <v>253</v>
      </c>
      <c r="B6" s="74">
        <v>5</v>
      </c>
      <c r="C6" s="74">
        <v>20</v>
      </c>
      <c r="D6" s="74">
        <v>133.33333333333331</v>
      </c>
      <c r="E6" s="75">
        <f t="shared" si="0"/>
        <v>666.66666666666652</v>
      </c>
      <c r="F6" s="75">
        <f t="shared" si="0"/>
        <v>2666.6666666666661</v>
      </c>
      <c r="H6" s="69">
        <v>0.75</v>
      </c>
      <c r="I6" s="76">
        <f t="shared" si="1"/>
        <v>99.999999999999986</v>
      </c>
      <c r="J6">
        <v>100</v>
      </c>
    </row>
    <row r="7" spans="1:10" ht="9" customHeight="1" x14ac:dyDescent="0.35">
      <c r="B7" s="74"/>
      <c r="C7" s="74"/>
      <c r="D7" s="74"/>
      <c r="E7" s="74"/>
      <c r="F7" s="74"/>
    </row>
    <row r="8" spans="1:10" x14ac:dyDescent="0.35">
      <c r="B8" s="74"/>
      <c r="C8" s="74" t="s">
        <v>16</v>
      </c>
      <c r="D8" s="74">
        <f>SUM(D4:D7)</f>
        <v>163.33333333333331</v>
      </c>
      <c r="E8" s="74">
        <f>SUM(E4:E7)</f>
        <v>1416.6666666666665</v>
      </c>
      <c r="F8" s="74">
        <f>SUM(F4:F7)</f>
        <v>4016.6666666666661</v>
      </c>
      <c r="H8">
        <f>SUM(H4:H7)</f>
        <v>3.75</v>
      </c>
      <c r="I8" s="77">
        <f>SUM(I4:I7)</f>
        <v>150</v>
      </c>
    </row>
    <row r="10" spans="1:10" x14ac:dyDescent="0.35">
      <c r="A10" t="s">
        <v>254</v>
      </c>
      <c r="B10" s="74">
        <v>2000</v>
      </c>
    </row>
    <row r="11" spans="1:10" x14ac:dyDescent="0.35">
      <c r="A11" t="s">
        <v>301</v>
      </c>
      <c r="B11" s="74">
        <v>150</v>
      </c>
    </row>
    <row r="13" spans="1:10" ht="18.75" customHeight="1" x14ac:dyDescent="0.35">
      <c r="A13" s="196" t="s">
        <v>302</v>
      </c>
      <c r="B13" s="78"/>
      <c r="C13" s="78"/>
      <c r="D13" s="78"/>
      <c r="E13" s="78"/>
      <c r="F13" s="79"/>
      <c r="G13" s="79"/>
      <c r="H13" s="79"/>
    </row>
  </sheetData>
  <printOptions headings="1" gridLines="1"/>
  <pageMargins left="0.25" right="0.25" top="0.25" bottom="0.5" header="0.25" footer="0.25"/>
  <pageSetup fitToHeight="2" orientation="landscape" horizontalDpi="0" verticalDpi="0" r:id="rId1"/>
  <headerFooter alignWithMargins="0">
    <oddFooter>&amp;R&amp;Z&amp;F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47513-C86B-4419-8E45-236EEF745B34}">
  <sheetPr codeName="Sheet15">
    <pageSetUpPr fitToPage="1"/>
  </sheetPr>
  <dimension ref="A1:K15"/>
  <sheetViews>
    <sheetView zoomScale="150" zoomScaleNormal="150" workbookViewId="0">
      <selection activeCell="E4" sqref="E4"/>
    </sheetView>
  </sheetViews>
  <sheetFormatPr defaultColWidth="8.81640625" defaultRowHeight="14.5" x14ac:dyDescent="0.35"/>
  <cols>
    <col min="1" max="1" width="15.7265625" style="179" customWidth="1"/>
    <col min="2" max="2" width="10.54296875" style="179" bestFit="1" customWidth="1"/>
    <col min="3" max="6" width="8.81640625" style="179"/>
    <col min="7" max="7" width="3.81640625" style="179" customWidth="1"/>
    <col min="8" max="8" width="9.26953125" style="180" bestFit="1" customWidth="1"/>
    <col min="9" max="10" width="8.81640625" style="179"/>
    <col min="11" max="11" width="3.81640625" style="179" customWidth="1"/>
    <col min="12" max="16384" width="8.81640625" style="179"/>
  </cols>
  <sheetData>
    <row r="1" spans="1:11" ht="18.5" x14ac:dyDescent="0.45">
      <c r="A1" s="178" t="s">
        <v>285</v>
      </c>
    </row>
    <row r="3" spans="1:11" ht="29" x14ac:dyDescent="0.35">
      <c r="B3" s="181" t="s">
        <v>82</v>
      </c>
      <c r="C3" s="181" t="s">
        <v>244</v>
      </c>
      <c r="D3" s="181" t="s">
        <v>286</v>
      </c>
      <c r="E3" s="182" t="s">
        <v>246</v>
      </c>
      <c r="F3" s="182" t="s">
        <v>247</v>
      </c>
      <c r="G3" s="183"/>
      <c r="H3" s="184" t="s">
        <v>287</v>
      </c>
      <c r="I3" s="182" t="s">
        <v>288</v>
      </c>
      <c r="J3" s="182" t="s">
        <v>289</v>
      </c>
      <c r="K3" s="183"/>
    </row>
    <row r="4" spans="1:11" x14ac:dyDescent="0.35">
      <c r="A4" s="179" t="s">
        <v>290</v>
      </c>
      <c r="B4" s="185">
        <v>17000</v>
      </c>
      <c r="C4" s="185">
        <v>35000</v>
      </c>
      <c r="D4" s="185">
        <v>25</v>
      </c>
      <c r="E4" s="186"/>
      <c r="F4" s="186"/>
      <c r="H4" s="180">
        <v>1.5</v>
      </c>
      <c r="I4" s="187"/>
      <c r="J4" s="179">
        <v>75</v>
      </c>
    </row>
    <row r="5" spans="1:11" x14ac:dyDescent="0.35">
      <c r="A5" s="179" t="s">
        <v>291</v>
      </c>
      <c r="B5" s="185">
        <v>25000</v>
      </c>
      <c r="C5" s="185">
        <v>55000</v>
      </c>
      <c r="D5" s="185">
        <v>15</v>
      </c>
      <c r="E5" s="186"/>
      <c r="F5" s="186"/>
      <c r="H5" s="180">
        <v>2</v>
      </c>
      <c r="I5" s="187"/>
      <c r="J5" s="179">
        <v>40</v>
      </c>
    </row>
    <row r="6" spans="1:11" x14ac:dyDescent="0.35">
      <c r="A6" s="179" t="s">
        <v>292</v>
      </c>
      <c r="B6" s="185">
        <v>5000</v>
      </c>
      <c r="C6" s="185">
        <v>20000</v>
      </c>
      <c r="D6" s="185">
        <v>30</v>
      </c>
      <c r="E6" s="186"/>
      <c r="F6" s="186"/>
      <c r="H6" s="180">
        <v>0.75</v>
      </c>
      <c r="I6" s="187"/>
      <c r="J6" s="179">
        <v>100</v>
      </c>
    </row>
    <row r="7" spans="1:11" ht="9" customHeight="1" x14ac:dyDescent="0.35">
      <c r="B7" s="185"/>
      <c r="C7" s="185"/>
      <c r="D7" s="185"/>
      <c r="E7" s="185"/>
      <c r="F7" s="185"/>
    </row>
    <row r="8" spans="1:11" x14ac:dyDescent="0.35">
      <c r="B8" s="185"/>
      <c r="C8" s="185" t="s">
        <v>16</v>
      </c>
      <c r="D8" s="185">
        <f>SUM(D4:D7)</f>
        <v>70</v>
      </c>
      <c r="E8" s="185">
        <f>SUM(E4:E7)</f>
        <v>0</v>
      </c>
      <c r="F8" s="185">
        <f>SUM(F4:F7)</f>
        <v>0</v>
      </c>
      <c r="H8" s="179">
        <f>SUM(H4:H7)</f>
        <v>4.25</v>
      </c>
      <c r="I8" s="188">
        <f>SUM(I4:I7)</f>
        <v>0</v>
      </c>
    </row>
    <row r="10" spans="1:11" x14ac:dyDescent="0.35">
      <c r="A10" s="179" t="s">
        <v>254</v>
      </c>
      <c r="B10" s="185">
        <v>2000000</v>
      </c>
    </row>
    <row r="11" spans="1:11" x14ac:dyDescent="0.35">
      <c r="A11" s="179" t="s">
        <v>293</v>
      </c>
      <c r="B11" s="185">
        <v>150</v>
      </c>
    </row>
    <row r="12" spans="1:11" x14ac:dyDescent="0.35">
      <c r="B12" s="185"/>
    </row>
    <row r="13" spans="1:11" x14ac:dyDescent="0.35">
      <c r="B13" s="185"/>
    </row>
    <row r="15" spans="1:11" ht="18.75" customHeight="1" x14ac:dyDescent="0.35">
      <c r="A15" s="189" t="s">
        <v>294</v>
      </c>
      <c r="B15" s="190"/>
      <c r="C15" s="190"/>
      <c r="D15" s="190"/>
      <c r="E15" s="190"/>
      <c r="F15" s="191"/>
      <c r="G15" s="191"/>
      <c r="H15" s="191"/>
      <c r="I15" s="191"/>
    </row>
  </sheetData>
  <printOptions headings="1" gridLines="1"/>
  <pageMargins left="0.25" right="0.25" top="0.25" bottom="0.5" header="0.25" footer="0.25"/>
  <pageSetup fitToHeight="2" orientation="landscape" horizontalDpi="0" verticalDpi="0" r:id="rId1"/>
  <headerFooter alignWithMargins="0">
    <oddFooter>&amp;R&amp;Z&amp;F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15"/>
  <sheetViews>
    <sheetView zoomScale="160" zoomScaleNormal="160" workbookViewId="0">
      <selection activeCell="F11" sqref="F11"/>
    </sheetView>
  </sheetViews>
  <sheetFormatPr defaultRowHeight="14.5" x14ac:dyDescent="0.35"/>
  <cols>
    <col min="1" max="1" width="22.26953125" customWidth="1"/>
    <col min="5" max="5" width="21.54296875" bestFit="1" customWidth="1"/>
    <col min="6" max="6" width="13.453125" customWidth="1"/>
  </cols>
  <sheetData>
    <row r="1" spans="1:6" ht="18.5" x14ac:dyDescent="0.45">
      <c r="A1" s="96" t="s">
        <v>0</v>
      </c>
      <c r="B1" s="1"/>
      <c r="C1" s="1"/>
      <c r="D1" s="1"/>
      <c r="E1" s="1"/>
      <c r="F1" s="1"/>
    </row>
    <row r="2" spans="1:6" ht="15.5" x14ac:dyDescent="0.35">
      <c r="A2" s="5" t="s">
        <v>1</v>
      </c>
      <c r="B2" s="1"/>
      <c r="C2" s="1"/>
      <c r="D2" s="1"/>
      <c r="E2" s="1"/>
      <c r="F2" s="1"/>
    </row>
    <row r="4" spans="1:6" x14ac:dyDescent="0.35">
      <c r="A4" s="3" t="s">
        <v>2</v>
      </c>
      <c r="E4" s="3" t="s">
        <v>305</v>
      </c>
    </row>
    <row r="5" spans="1:6" x14ac:dyDescent="0.35">
      <c r="A5" s="4" t="s">
        <v>3</v>
      </c>
      <c r="E5" s="197" t="s">
        <v>45</v>
      </c>
      <c r="F5" s="203">
        <f>'Cash Flow'!B32</f>
        <v>2672081.8671766305</v>
      </c>
    </row>
    <row r="6" spans="1:6" x14ac:dyDescent="0.35">
      <c r="A6" s="4" t="s">
        <v>4</v>
      </c>
      <c r="E6" s="197" t="s">
        <v>46</v>
      </c>
      <c r="F6" s="204">
        <f>'Cash Flow'!B33</f>
        <v>0.283847540166142</v>
      </c>
    </row>
    <row r="7" spans="1:6" x14ac:dyDescent="0.35">
      <c r="A7" s="4" t="s">
        <v>5</v>
      </c>
    </row>
    <row r="10" spans="1:6" x14ac:dyDescent="0.35">
      <c r="A10" s="3" t="s">
        <v>18</v>
      </c>
      <c r="E10" s="3" t="s">
        <v>303</v>
      </c>
    </row>
    <row r="11" spans="1:6" x14ac:dyDescent="0.35">
      <c r="A11" s="40" t="s">
        <v>6</v>
      </c>
      <c r="E11" s="197" t="s">
        <v>304</v>
      </c>
      <c r="F11" s="202">
        <f>LoanPmt</f>
        <v>8635.2771499771916</v>
      </c>
    </row>
    <row r="12" spans="1:6" x14ac:dyDescent="0.35">
      <c r="A12" s="8" t="str">
        <f>'Purch Analysis'!A19</f>
        <v>Check of Partner %</v>
      </c>
      <c r="B12" s="17" t="str">
        <f>'Purch Analysis'!B19</f>
        <v>ok</v>
      </c>
      <c r="E12" s="197" t="s">
        <v>299</v>
      </c>
    </row>
    <row r="13" spans="1:6" x14ac:dyDescent="0.35">
      <c r="A13" s="10" t="str">
        <f>'Purch Analysis'!A20</f>
        <v>Check of Total Amount</v>
      </c>
      <c r="B13" s="18" t="str">
        <f>'Purch Analysis'!B20</f>
        <v>ok</v>
      </c>
      <c r="E13" s="197" t="s">
        <v>300</v>
      </c>
    </row>
    <row r="14" spans="1:6" x14ac:dyDescent="0.35">
      <c r="A14" s="40"/>
    </row>
    <row r="15" spans="1:6" x14ac:dyDescent="0.35">
      <c r="A15" s="40"/>
    </row>
  </sheetData>
  <conditionalFormatting sqref="B12:B13">
    <cfRule type="cellIs" dxfId="6" priority="1" operator="notEqual">
      <formula>"ok"</formula>
    </cfRule>
    <cfRule type="cellIs" dxfId="5" priority="2" operator="equal">
      <formula>"ok"</formula>
    </cfRule>
  </conditionalFormatting>
  <printOptions headings="1" gridLines="1"/>
  <pageMargins left="0.2" right="0.2" top="0.5" bottom="0.5" header="0.2" footer="0.2"/>
  <pageSetup orientation="landscape" horizontalDpi="200" verticalDpi="200" r:id="rId1"/>
  <headerFooter>
    <oddFooter>&amp;L&amp;10Printed:  &amp;D  &amp;T&amp;CPage &amp;P of &amp;N&amp;R&amp;10&amp;A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C20"/>
  <sheetViews>
    <sheetView zoomScale="140" zoomScaleNormal="140" workbookViewId="0">
      <selection activeCell="B19" sqref="B19"/>
    </sheetView>
  </sheetViews>
  <sheetFormatPr defaultRowHeight="14.5" x14ac:dyDescent="0.35"/>
  <cols>
    <col min="1" max="1" width="22.7265625" customWidth="1"/>
    <col min="2" max="2" width="10.7265625" bestFit="1" customWidth="1"/>
    <col min="3" max="3" width="14.26953125" style="15" bestFit="1" customWidth="1"/>
  </cols>
  <sheetData>
    <row r="1" spans="1:3" ht="21" x14ac:dyDescent="0.5">
      <c r="A1" s="96" t="str">
        <f>Summary!A1</f>
        <v>Carey Transportation, Inc.</v>
      </c>
      <c r="B1" s="2"/>
      <c r="C1" s="12"/>
    </row>
    <row r="2" spans="1:3" ht="15.5" x14ac:dyDescent="0.35">
      <c r="A2" s="5" t="s">
        <v>6</v>
      </c>
      <c r="B2" s="5"/>
      <c r="C2" s="13"/>
    </row>
    <row r="3" spans="1:3" x14ac:dyDescent="0.35">
      <c r="C3" s="80"/>
    </row>
    <row r="4" spans="1:3" x14ac:dyDescent="0.35">
      <c r="B4" s="81" t="s">
        <v>7</v>
      </c>
      <c r="C4" s="82" t="s">
        <v>8</v>
      </c>
    </row>
    <row r="5" spans="1:3" x14ac:dyDescent="0.35">
      <c r="A5" s="7" t="s">
        <v>9</v>
      </c>
      <c r="C5" s="83">
        <v>2000000</v>
      </c>
    </row>
    <row r="6" spans="1:3" x14ac:dyDescent="0.35">
      <c r="C6" s="80"/>
    </row>
    <row r="7" spans="1:3" x14ac:dyDescent="0.35">
      <c r="A7" s="7" t="s">
        <v>10</v>
      </c>
      <c r="B7" s="6">
        <v>0.7</v>
      </c>
      <c r="C7" s="80">
        <f>C5*B7</f>
        <v>1400000</v>
      </c>
    </row>
    <row r="8" spans="1:3" x14ac:dyDescent="0.35">
      <c r="C8" s="80"/>
    </row>
    <row r="9" spans="1:3" x14ac:dyDescent="0.35">
      <c r="A9" s="7" t="s">
        <v>11</v>
      </c>
      <c r="B9" s="6">
        <f>C9/$C$13</f>
        <v>0.65</v>
      </c>
      <c r="C9" s="80">
        <v>910000</v>
      </c>
    </row>
    <row r="10" spans="1:3" x14ac:dyDescent="0.35">
      <c r="A10" s="7" t="s">
        <v>12</v>
      </c>
      <c r="B10" s="6">
        <f t="shared" ref="B10:B11" si="0">C10/$C$13</f>
        <v>0.2</v>
      </c>
      <c r="C10" s="80">
        <v>280000</v>
      </c>
    </row>
    <row r="11" spans="1:3" x14ac:dyDescent="0.35">
      <c r="A11" s="7" t="s">
        <v>13</v>
      </c>
      <c r="B11" s="6">
        <f t="shared" si="0"/>
        <v>0.15</v>
      </c>
      <c r="C11" s="80">
        <v>210000</v>
      </c>
    </row>
    <row r="12" spans="1:3" ht="6.75" customHeight="1" x14ac:dyDescent="0.35">
      <c r="C12" s="80"/>
    </row>
    <row r="13" spans="1:3" x14ac:dyDescent="0.35">
      <c r="A13" s="84" t="s">
        <v>14</v>
      </c>
      <c r="B13" s="85">
        <f>SUM(B9:B12)</f>
        <v>1</v>
      </c>
      <c r="C13" s="86">
        <f>SUM(C9:C12)</f>
        <v>1400000</v>
      </c>
    </row>
    <row r="14" spans="1:3" x14ac:dyDescent="0.35">
      <c r="A14" s="7" t="s">
        <v>15</v>
      </c>
      <c r="C14" s="80">
        <f>C5-C13</f>
        <v>600000</v>
      </c>
    </row>
    <row r="15" spans="1:3" ht="6.75" customHeight="1" x14ac:dyDescent="0.35">
      <c r="C15" s="80"/>
    </row>
    <row r="16" spans="1:3" ht="19.5" customHeight="1" thickBot="1" x14ac:dyDescent="0.4">
      <c r="A16" s="87" t="s">
        <v>16</v>
      </c>
      <c r="B16" s="11"/>
      <c r="C16" s="88">
        <f>SUM(C13:C15)</f>
        <v>2000000</v>
      </c>
    </row>
    <row r="17" spans="1:3" ht="15" thickTop="1" x14ac:dyDescent="0.35">
      <c r="C17" s="80"/>
    </row>
    <row r="18" spans="1:3" ht="17" x14ac:dyDescent="0.4">
      <c r="A18" s="89" t="s">
        <v>18</v>
      </c>
      <c r="C18" s="80"/>
    </row>
    <row r="19" spans="1:3" x14ac:dyDescent="0.35">
      <c r="A19" s="8" t="s">
        <v>19</v>
      </c>
      <c r="B19" s="17" t="str">
        <f>IF(C13&gt;=C7,"ok","ck partner")</f>
        <v>ok</v>
      </c>
    </row>
    <row r="20" spans="1:3" x14ac:dyDescent="0.35">
      <c r="A20" s="10" t="s">
        <v>20</v>
      </c>
      <c r="B20" s="18" t="str">
        <f>IF(C16=C5,"ok","ck totals")</f>
        <v>ok</v>
      </c>
    </row>
  </sheetData>
  <conditionalFormatting sqref="B19:B20">
    <cfRule type="cellIs" dxfId="4" priority="2" operator="equal">
      <formula>"ok"</formula>
    </cfRule>
    <cfRule type="cellIs" dxfId="3" priority="1" operator="notEqual">
      <formula>"ok"</formula>
    </cfRule>
  </conditionalFormatting>
  <printOptions headings="1" gridLines="1"/>
  <pageMargins left="0.2" right="0.2" top="0.5" bottom="0.5" header="0.2" footer="0.2"/>
  <pageSetup orientation="landscape" horizontalDpi="200" verticalDpi="200" r:id="rId1"/>
  <headerFooter>
    <oddFooter>&amp;L&amp;10Printed:  &amp;D  &amp;T&amp;CPage &amp;P of &amp;N&amp;R&amp;10&amp;A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M19"/>
  <sheetViews>
    <sheetView zoomScale="140" zoomScaleNormal="140" workbookViewId="0">
      <pane xSplit="2" ySplit="12" topLeftCell="C13" activePane="bottomRight" state="frozen"/>
      <selection activeCell="B11" sqref="B11"/>
      <selection pane="topRight" activeCell="B11" sqref="B11"/>
      <selection pane="bottomLeft" activeCell="B11" sqref="B11"/>
      <selection pane="bottomRight" activeCell="G8" sqref="G8"/>
    </sheetView>
  </sheetViews>
  <sheetFormatPr defaultRowHeight="12.5" x14ac:dyDescent="0.25"/>
  <cols>
    <col min="1" max="1" width="8.81640625" style="33"/>
    <col min="2" max="2" width="9.26953125" style="36" bestFit="1" customWidth="1"/>
    <col min="3" max="3" width="10.26953125" style="36" bestFit="1" customWidth="1"/>
    <col min="4" max="4" width="11.26953125" style="34" bestFit="1" customWidth="1"/>
    <col min="5" max="6" width="11.7265625" style="34" customWidth="1"/>
    <col min="7" max="7" width="14.1796875" style="34" customWidth="1"/>
    <col min="8" max="8" width="10.81640625" style="36" bestFit="1" customWidth="1"/>
    <col min="9" max="9" width="11.7265625" style="34" hidden="1" customWidth="1"/>
    <col min="10" max="10" width="12.81640625" style="34" hidden="1" customWidth="1"/>
    <col min="11" max="12" width="10.7265625" style="34" hidden="1" customWidth="1"/>
    <col min="13" max="13" width="11.7265625" style="34" customWidth="1"/>
    <col min="14" max="258" width="8.81640625" style="33"/>
    <col min="259" max="259" width="9.26953125" style="33" bestFit="1" customWidth="1"/>
    <col min="260" max="260" width="11.26953125" style="33" bestFit="1" customWidth="1"/>
    <col min="261" max="262" width="11.7265625" style="33" customWidth="1"/>
    <col min="263" max="263" width="14.1796875" style="33" customWidth="1"/>
    <col min="264" max="264" width="10.81640625" style="33" bestFit="1" customWidth="1"/>
    <col min="265" max="265" width="11.7265625" style="33" customWidth="1"/>
    <col min="266" max="266" width="12.81640625" style="33" bestFit="1" customWidth="1"/>
    <col min="267" max="268" width="10.7265625" style="33" customWidth="1"/>
    <col min="269" max="269" width="11.7265625" style="33" customWidth="1"/>
    <col min="270" max="514" width="8.81640625" style="33"/>
    <col min="515" max="515" width="9.26953125" style="33" bestFit="1" customWidth="1"/>
    <col min="516" max="516" width="11.26953125" style="33" bestFit="1" customWidth="1"/>
    <col min="517" max="518" width="11.7265625" style="33" customWidth="1"/>
    <col min="519" max="519" width="14.1796875" style="33" customWidth="1"/>
    <col min="520" max="520" width="10.81640625" style="33" bestFit="1" customWidth="1"/>
    <col min="521" max="521" width="11.7265625" style="33" customWidth="1"/>
    <col min="522" max="522" width="12.81640625" style="33" bestFit="1" customWidth="1"/>
    <col min="523" max="524" width="10.7265625" style="33" customWidth="1"/>
    <col min="525" max="525" width="11.7265625" style="33" customWidth="1"/>
    <col min="526" max="770" width="8.81640625" style="33"/>
    <col min="771" max="771" width="9.26953125" style="33" bestFit="1" customWidth="1"/>
    <col min="772" max="772" width="11.26953125" style="33" bestFit="1" customWidth="1"/>
    <col min="773" max="774" width="11.7265625" style="33" customWidth="1"/>
    <col min="775" max="775" width="14.1796875" style="33" customWidth="1"/>
    <col min="776" max="776" width="10.81640625" style="33" bestFit="1" customWidth="1"/>
    <col min="777" max="777" width="11.7265625" style="33" customWidth="1"/>
    <col min="778" max="778" width="12.81640625" style="33" bestFit="1" customWidth="1"/>
    <col min="779" max="780" width="10.7265625" style="33" customWidth="1"/>
    <col min="781" max="781" width="11.7265625" style="33" customWidth="1"/>
    <col min="782" max="1026" width="8.81640625" style="33"/>
    <col min="1027" max="1027" width="9.26953125" style="33" bestFit="1" customWidth="1"/>
    <col min="1028" max="1028" width="11.26953125" style="33" bestFit="1" customWidth="1"/>
    <col min="1029" max="1030" width="11.7265625" style="33" customWidth="1"/>
    <col min="1031" max="1031" width="14.1796875" style="33" customWidth="1"/>
    <col min="1032" max="1032" width="10.81640625" style="33" bestFit="1" customWidth="1"/>
    <col min="1033" max="1033" width="11.7265625" style="33" customWidth="1"/>
    <col min="1034" max="1034" width="12.81640625" style="33" bestFit="1" customWidth="1"/>
    <col min="1035" max="1036" width="10.7265625" style="33" customWidth="1"/>
    <col min="1037" max="1037" width="11.7265625" style="33" customWidth="1"/>
    <col min="1038" max="1282" width="8.81640625" style="33"/>
    <col min="1283" max="1283" width="9.26953125" style="33" bestFit="1" customWidth="1"/>
    <col min="1284" max="1284" width="11.26953125" style="33" bestFit="1" customWidth="1"/>
    <col min="1285" max="1286" width="11.7265625" style="33" customWidth="1"/>
    <col min="1287" max="1287" width="14.1796875" style="33" customWidth="1"/>
    <col min="1288" max="1288" width="10.81640625" style="33" bestFit="1" customWidth="1"/>
    <col min="1289" max="1289" width="11.7265625" style="33" customWidth="1"/>
    <col min="1290" max="1290" width="12.81640625" style="33" bestFit="1" customWidth="1"/>
    <col min="1291" max="1292" width="10.7265625" style="33" customWidth="1"/>
    <col min="1293" max="1293" width="11.7265625" style="33" customWidth="1"/>
    <col min="1294" max="1538" width="8.81640625" style="33"/>
    <col min="1539" max="1539" width="9.26953125" style="33" bestFit="1" customWidth="1"/>
    <col min="1540" max="1540" width="11.26953125" style="33" bestFit="1" customWidth="1"/>
    <col min="1541" max="1542" width="11.7265625" style="33" customWidth="1"/>
    <col min="1543" max="1543" width="14.1796875" style="33" customWidth="1"/>
    <col min="1544" max="1544" width="10.81640625" style="33" bestFit="1" customWidth="1"/>
    <col min="1545" max="1545" width="11.7265625" style="33" customWidth="1"/>
    <col min="1546" max="1546" width="12.81640625" style="33" bestFit="1" customWidth="1"/>
    <col min="1547" max="1548" width="10.7265625" style="33" customWidth="1"/>
    <col min="1549" max="1549" width="11.7265625" style="33" customWidth="1"/>
    <col min="1550" max="1794" width="8.81640625" style="33"/>
    <col min="1795" max="1795" width="9.26953125" style="33" bestFit="1" customWidth="1"/>
    <col min="1796" max="1796" width="11.26953125" style="33" bestFit="1" customWidth="1"/>
    <col min="1797" max="1798" width="11.7265625" style="33" customWidth="1"/>
    <col min="1799" max="1799" width="14.1796875" style="33" customWidth="1"/>
    <col min="1800" max="1800" width="10.81640625" style="33" bestFit="1" customWidth="1"/>
    <col min="1801" max="1801" width="11.7265625" style="33" customWidth="1"/>
    <col min="1802" max="1802" width="12.81640625" style="33" bestFit="1" customWidth="1"/>
    <col min="1803" max="1804" width="10.7265625" style="33" customWidth="1"/>
    <col min="1805" max="1805" width="11.7265625" style="33" customWidth="1"/>
    <col min="1806" max="2050" width="8.81640625" style="33"/>
    <col min="2051" max="2051" width="9.26953125" style="33" bestFit="1" customWidth="1"/>
    <col min="2052" max="2052" width="11.26953125" style="33" bestFit="1" customWidth="1"/>
    <col min="2053" max="2054" width="11.7265625" style="33" customWidth="1"/>
    <col min="2055" max="2055" width="14.1796875" style="33" customWidth="1"/>
    <col min="2056" max="2056" width="10.81640625" style="33" bestFit="1" customWidth="1"/>
    <col min="2057" max="2057" width="11.7265625" style="33" customWidth="1"/>
    <col min="2058" max="2058" width="12.81640625" style="33" bestFit="1" customWidth="1"/>
    <col min="2059" max="2060" width="10.7265625" style="33" customWidth="1"/>
    <col min="2061" max="2061" width="11.7265625" style="33" customWidth="1"/>
    <col min="2062" max="2306" width="8.81640625" style="33"/>
    <col min="2307" max="2307" width="9.26953125" style="33" bestFit="1" customWidth="1"/>
    <col min="2308" max="2308" width="11.26953125" style="33" bestFit="1" customWidth="1"/>
    <col min="2309" max="2310" width="11.7265625" style="33" customWidth="1"/>
    <col min="2311" max="2311" width="14.1796875" style="33" customWidth="1"/>
    <col min="2312" max="2312" width="10.81640625" style="33" bestFit="1" customWidth="1"/>
    <col min="2313" max="2313" width="11.7265625" style="33" customWidth="1"/>
    <col min="2314" max="2314" width="12.81640625" style="33" bestFit="1" customWidth="1"/>
    <col min="2315" max="2316" width="10.7265625" style="33" customWidth="1"/>
    <col min="2317" max="2317" width="11.7265625" style="33" customWidth="1"/>
    <col min="2318" max="2562" width="8.81640625" style="33"/>
    <col min="2563" max="2563" width="9.26953125" style="33" bestFit="1" customWidth="1"/>
    <col min="2564" max="2564" width="11.26953125" style="33" bestFit="1" customWidth="1"/>
    <col min="2565" max="2566" width="11.7265625" style="33" customWidth="1"/>
    <col min="2567" max="2567" width="14.1796875" style="33" customWidth="1"/>
    <col min="2568" max="2568" width="10.81640625" style="33" bestFit="1" customWidth="1"/>
    <col min="2569" max="2569" width="11.7265625" style="33" customWidth="1"/>
    <col min="2570" max="2570" width="12.81640625" style="33" bestFit="1" customWidth="1"/>
    <col min="2571" max="2572" width="10.7265625" style="33" customWidth="1"/>
    <col min="2573" max="2573" width="11.7265625" style="33" customWidth="1"/>
    <col min="2574" max="2818" width="8.81640625" style="33"/>
    <col min="2819" max="2819" width="9.26953125" style="33" bestFit="1" customWidth="1"/>
    <col min="2820" max="2820" width="11.26953125" style="33" bestFit="1" customWidth="1"/>
    <col min="2821" max="2822" width="11.7265625" style="33" customWidth="1"/>
    <col min="2823" max="2823" width="14.1796875" style="33" customWidth="1"/>
    <col min="2824" max="2824" width="10.81640625" style="33" bestFit="1" customWidth="1"/>
    <col min="2825" max="2825" width="11.7265625" style="33" customWidth="1"/>
    <col min="2826" max="2826" width="12.81640625" style="33" bestFit="1" customWidth="1"/>
    <col min="2827" max="2828" width="10.7265625" style="33" customWidth="1"/>
    <col min="2829" max="2829" width="11.7265625" style="33" customWidth="1"/>
    <col min="2830" max="3074" width="8.81640625" style="33"/>
    <col min="3075" max="3075" width="9.26953125" style="33" bestFit="1" customWidth="1"/>
    <col min="3076" max="3076" width="11.26953125" style="33" bestFit="1" customWidth="1"/>
    <col min="3077" max="3078" width="11.7265625" style="33" customWidth="1"/>
    <col min="3079" max="3079" width="14.1796875" style="33" customWidth="1"/>
    <col min="3080" max="3080" width="10.81640625" style="33" bestFit="1" customWidth="1"/>
    <col min="3081" max="3081" width="11.7265625" style="33" customWidth="1"/>
    <col min="3082" max="3082" width="12.81640625" style="33" bestFit="1" customWidth="1"/>
    <col min="3083" max="3084" width="10.7265625" style="33" customWidth="1"/>
    <col min="3085" max="3085" width="11.7265625" style="33" customWidth="1"/>
    <col min="3086" max="3330" width="8.81640625" style="33"/>
    <col min="3331" max="3331" width="9.26953125" style="33" bestFit="1" customWidth="1"/>
    <col min="3332" max="3332" width="11.26953125" style="33" bestFit="1" customWidth="1"/>
    <col min="3333" max="3334" width="11.7265625" style="33" customWidth="1"/>
    <col min="3335" max="3335" width="14.1796875" style="33" customWidth="1"/>
    <col min="3336" max="3336" width="10.81640625" style="33" bestFit="1" customWidth="1"/>
    <col min="3337" max="3337" width="11.7265625" style="33" customWidth="1"/>
    <col min="3338" max="3338" width="12.81640625" style="33" bestFit="1" customWidth="1"/>
    <col min="3339" max="3340" width="10.7265625" style="33" customWidth="1"/>
    <col min="3341" max="3341" width="11.7265625" style="33" customWidth="1"/>
    <col min="3342" max="3586" width="8.81640625" style="33"/>
    <col min="3587" max="3587" width="9.26953125" style="33" bestFit="1" customWidth="1"/>
    <col min="3588" max="3588" width="11.26953125" style="33" bestFit="1" customWidth="1"/>
    <col min="3589" max="3590" width="11.7265625" style="33" customWidth="1"/>
    <col min="3591" max="3591" width="14.1796875" style="33" customWidth="1"/>
    <col min="3592" max="3592" width="10.81640625" style="33" bestFit="1" customWidth="1"/>
    <col min="3593" max="3593" width="11.7265625" style="33" customWidth="1"/>
    <col min="3594" max="3594" width="12.81640625" style="33" bestFit="1" customWidth="1"/>
    <col min="3595" max="3596" width="10.7265625" style="33" customWidth="1"/>
    <col min="3597" max="3597" width="11.7265625" style="33" customWidth="1"/>
    <col min="3598" max="3842" width="8.81640625" style="33"/>
    <col min="3843" max="3843" width="9.26953125" style="33" bestFit="1" customWidth="1"/>
    <col min="3844" max="3844" width="11.26953125" style="33" bestFit="1" customWidth="1"/>
    <col min="3845" max="3846" width="11.7265625" style="33" customWidth="1"/>
    <col min="3847" max="3847" width="14.1796875" style="33" customWidth="1"/>
    <col min="3848" max="3848" width="10.81640625" style="33" bestFit="1" customWidth="1"/>
    <col min="3849" max="3849" width="11.7265625" style="33" customWidth="1"/>
    <col min="3850" max="3850" width="12.81640625" style="33" bestFit="1" customWidth="1"/>
    <col min="3851" max="3852" width="10.7265625" style="33" customWidth="1"/>
    <col min="3853" max="3853" width="11.7265625" style="33" customWidth="1"/>
    <col min="3854" max="4098" width="8.81640625" style="33"/>
    <col min="4099" max="4099" width="9.26953125" style="33" bestFit="1" customWidth="1"/>
    <col min="4100" max="4100" width="11.26953125" style="33" bestFit="1" customWidth="1"/>
    <col min="4101" max="4102" width="11.7265625" style="33" customWidth="1"/>
    <col min="4103" max="4103" width="14.1796875" style="33" customWidth="1"/>
    <col min="4104" max="4104" width="10.81640625" style="33" bestFit="1" customWidth="1"/>
    <col min="4105" max="4105" width="11.7265625" style="33" customWidth="1"/>
    <col min="4106" max="4106" width="12.81640625" style="33" bestFit="1" customWidth="1"/>
    <col min="4107" max="4108" width="10.7265625" style="33" customWidth="1"/>
    <col min="4109" max="4109" width="11.7265625" style="33" customWidth="1"/>
    <col min="4110" max="4354" width="8.81640625" style="33"/>
    <col min="4355" max="4355" width="9.26953125" style="33" bestFit="1" customWidth="1"/>
    <col min="4356" max="4356" width="11.26953125" style="33" bestFit="1" customWidth="1"/>
    <col min="4357" max="4358" width="11.7265625" style="33" customWidth="1"/>
    <col min="4359" max="4359" width="14.1796875" style="33" customWidth="1"/>
    <col min="4360" max="4360" width="10.81640625" style="33" bestFit="1" customWidth="1"/>
    <col min="4361" max="4361" width="11.7265625" style="33" customWidth="1"/>
    <col min="4362" max="4362" width="12.81640625" style="33" bestFit="1" customWidth="1"/>
    <col min="4363" max="4364" width="10.7265625" style="33" customWidth="1"/>
    <col min="4365" max="4365" width="11.7265625" style="33" customWidth="1"/>
    <col min="4366" max="4610" width="8.81640625" style="33"/>
    <col min="4611" max="4611" width="9.26953125" style="33" bestFit="1" customWidth="1"/>
    <col min="4612" max="4612" width="11.26953125" style="33" bestFit="1" customWidth="1"/>
    <col min="4613" max="4614" width="11.7265625" style="33" customWidth="1"/>
    <col min="4615" max="4615" width="14.1796875" style="33" customWidth="1"/>
    <col min="4616" max="4616" width="10.81640625" style="33" bestFit="1" customWidth="1"/>
    <col min="4617" max="4617" width="11.7265625" style="33" customWidth="1"/>
    <col min="4618" max="4618" width="12.81640625" style="33" bestFit="1" customWidth="1"/>
    <col min="4619" max="4620" width="10.7265625" style="33" customWidth="1"/>
    <col min="4621" max="4621" width="11.7265625" style="33" customWidth="1"/>
    <col min="4622" max="4866" width="8.81640625" style="33"/>
    <col min="4867" max="4867" width="9.26953125" style="33" bestFit="1" customWidth="1"/>
    <col min="4868" max="4868" width="11.26953125" style="33" bestFit="1" customWidth="1"/>
    <col min="4869" max="4870" width="11.7265625" style="33" customWidth="1"/>
    <col min="4871" max="4871" width="14.1796875" style="33" customWidth="1"/>
    <col min="4872" max="4872" width="10.81640625" style="33" bestFit="1" customWidth="1"/>
    <col min="4873" max="4873" width="11.7265625" style="33" customWidth="1"/>
    <col min="4874" max="4874" width="12.81640625" style="33" bestFit="1" customWidth="1"/>
    <col min="4875" max="4876" width="10.7265625" style="33" customWidth="1"/>
    <col min="4877" max="4877" width="11.7265625" style="33" customWidth="1"/>
    <col min="4878" max="5122" width="8.81640625" style="33"/>
    <col min="5123" max="5123" width="9.26953125" style="33" bestFit="1" customWidth="1"/>
    <col min="5124" max="5124" width="11.26953125" style="33" bestFit="1" customWidth="1"/>
    <col min="5125" max="5126" width="11.7265625" style="33" customWidth="1"/>
    <col min="5127" max="5127" width="14.1796875" style="33" customWidth="1"/>
    <col min="5128" max="5128" width="10.81640625" style="33" bestFit="1" customWidth="1"/>
    <col min="5129" max="5129" width="11.7265625" style="33" customWidth="1"/>
    <col min="5130" max="5130" width="12.81640625" style="33" bestFit="1" customWidth="1"/>
    <col min="5131" max="5132" width="10.7265625" style="33" customWidth="1"/>
    <col min="5133" max="5133" width="11.7265625" style="33" customWidth="1"/>
    <col min="5134" max="5378" width="8.81640625" style="33"/>
    <col min="5379" max="5379" width="9.26953125" style="33" bestFit="1" customWidth="1"/>
    <col min="5380" max="5380" width="11.26953125" style="33" bestFit="1" customWidth="1"/>
    <col min="5381" max="5382" width="11.7265625" style="33" customWidth="1"/>
    <col min="5383" max="5383" width="14.1796875" style="33" customWidth="1"/>
    <col min="5384" max="5384" width="10.81640625" style="33" bestFit="1" customWidth="1"/>
    <col min="5385" max="5385" width="11.7265625" style="33" customWidth="1"/>
    <col min="5386" max="5386" width="12.81640625" style="33" bestFit="1" customWidth="1"/>
    <col min="5387" max="5388" width="10.7265625" style="33" customWidth="1"/>
    <col min="5389" max="5389" width="11.7265625" style="33" customWidth="1"/>
    <col min="5390" max="5634" width="8.81640625" style="33"/>
    <col min="5635" max="5635" width="9.26953125" style="33" bestFit="1" customWidth="1"/>
    <col min="5636" max="5636" width="11.26953125" style="33" bestFit="1" customWidth="1"/>
    <col min="5637" max="5638" width="11.7265625" style="33" customWidth="1"/>
    <col min="5639" max="5639" width="14.1796875" style="33" customWidth="1"/>
    <col min="5640" max="5640" width="10.81640625" style="33" bestFit="1" customWidth="1"/>
    <col min="5641" max="5641" width="11.7265625" style="33" customWidth="1"/>
    <col min="5642" max="5642" width="12.81640625" style="33" bestFit="1" customWidth="1"/>
    <col min="5643" max="5644" width="10.7265625" style="33" customWidth="1"/>
    <col min="5645" max="5645" width="11.7265625" style="33" customWidth="1"/>
    <col min="5646" max="5890" width="8.81640625" style="33"/>
    <col min="5891" max="5891" width="9.26953125" style="33" bestFit="1" customWidth="1"/>
    <col min="5892" max="5892" width="11.26953125" style="33" bestFit="1" customWidth="1"/>
    <col min="5893" max="5894" width="11.7265625" style="33" customWidth="1"/>
    <col min="5895" max="5895" width="14.1796875" style="33" customWidth="1"/>
    <col min="5896" max="5896" width="10.81640625" style="33" bestFit="1" customWidth="1"/>
    <col min="5897" max="5897" width="11.7265625" style="33" customWidth="1"/>
    <col min="5898" max="5898" width="12.81640625" style="33" bestFit="1" customWidth="1"/>
    <col min="5899" max="5900" width="10.7265625" style="33" customWidth="1"/>
    <col min="5901" max="5901" width="11.7265625" style="33" customWidth="1"/>
    <col min="5902" max="6146" width="8.81640625" style="33"/>
    <col min="6147" max="6147" width="9.26953125" style="33" bestFit="1" customWidth="1"/>
    <col min="6148" max="6148" width="11.26953125" style="33" bestFit="1" customWidth="1"/>
    <col min="6149" max="6150" width="11.7265625" style="33" customWidth="1"/>
    <col min="6151" max="6151" width="14.1796875" style="33" customWidth="1"/>
    <col min="6152" max="6152" width="10.81640625" style="33" bestFit="1" customWidth="1"/>
    <col min="6153" max="6153" width="11.7265625" style="33" customWidth="1"/>
    <col min="6154" max="6154" width="12.81640625" style="33" bestFit="1" customWidth="1"/>
    <col min="6155" max="6156" width="10.7265625" style="33" customWidth="1"/>
    <col min="6157" max="6157" width="11.7265625" style="33" customWidth="1"/>
    <col min="6158" max="6402" width="8.81640625" style="33"/>
    <col min="6403" max="6403" width="9.26953125" style="33" bestFit="1" customWidth="1"/>
    <col min="6404" max="6404" width="11.26953125" style="33" bestFit="1" customWidth="1"/>
    <col min="6405" max="6406" width="11.7265625" style="33" customWidth="1"/>
    <col min="6407" max="6407" width="14.1796875" style="33" customWidth="1"/>
    <col min="6408" max="6408" width="10.81640625" style="33" bestFit="1" customWidth="1"/>
    <col min="6409" max="6409" width="11.7265625" style="33" customWidth="1"/>
    <col min="6410" max="6410" width="12.81640625" style="33" bestFit="1" customWidth="1"/>
    <col min="6411" max="6412" width="10.7265625" style="33" customWidth="1"/>
    <col min="6413" max="6413" width="11.7265625" style="33" customWidth="1"/>
    <col min="6414" max="6658" width="8.81640625" style="33"/>
    <col min="6659" max="6659" width="9.26953125" style="33" bestFit="1" customWidth="1"/>
    <col min="6660" max="6660" width="11.26953125" style="33" bestFit="1" customWidth="1"/>
    <col min="6661" max="6662" width="11.7265625" style="33" customWidth="1"/>
    <col min="6663" max="6663" width="14.1796875" style="33" customWidth="1"/>
    <col min="6664" max="6664" width="10.81640625" style="33" bestFit="1" customWidth="1"/>
    <col min="6665" max="6665" width="11.7265625" style="33" customWidth="1"/>
    <col min="6666" max="6666" width="12.81640625" style="33" bestFit="1" customWidth="1"/>
    <col min="6667" max="6668" width="10.7265625" style="33" customWidth="1"/>
    <col min="6669" max="6669" width="11.7265625" style="33" customWidth="1"/>
    <col min="6670" max="6914" width="8.81640625" style="33"/>
    <col min="6915" max="6915" width="9.26953125" style="33" bestFit="1" customWidth="1"/>
    <col min="6916" max="6916" width="11.26953125" style="33" bestFit="1" customWidth="1"/>
    <col min="6917" max="6918" width="11.7265625" style="33" customWidth="1"/>
    <col min="6919" max="6919" width="14.1796875" style="33" customWidth="1"/>
    <col min="6920" max="6920" width="10.81640625" style="33" bestFit="1" customWidth="1"/>
    <col min="6921" max="6921" width="11.7265625" style="33" customWidth="1"/>
    <col min="6922" max="6922" width="12.81640625" style="33" bestFit="1" customWidth="1"/>
    <col min="6923" max="6924" width="10.7265625" style="33" customWidth="1"/>
    <col min="6925" max="6925" width="11.7265625" style="33" customWidth="1"/>
    <col min="6926" max="7170" width="8.81640625" style="33"/>
    <col min="7171" max="7171" width="9.26953125" style="33" bestFit="1" customWidth="1"/>
    <col min="7172" max="7172" width="11.26953125" style="33" bestFit="1" customWidth="1"/>
    <col min="7173" max="7174" width="11.7265625" style="33" customWidth="1"/>
    <col min="7175" max="7175" width="14.1796875" style="33" customWidth="1"/>
    <col min="7176" max="7176" width="10.81640625" style="33" bestFit="1" customWidth="1"/>
    <col min="7177" max="7177" width="11.7265625" style="33" customWidth="1"/>
    <col min="7178" max="7178" width="12.81640625" style="33" bestFit="1" customWidth="1"/>
    <col min="7179" max="7180" width="10.7265625" style="33" customWidth="1"/>
    <col min="7181" max="7181" width="11.7265625" style="33" customWidth="1"/>
    <col min="7182" max="7426" width="8.81640625" style="33"/>
    <col min="7427" max="7427" width="9.26953125" style="33" bestFit="1" customWidth="1"/>
    <col min="7428" max="7428" width="11.26953125" style="33" bestFit="1" customWidth="1"/>
    <col min="7429" max="7430" width="11.7265625" style="33" customWidth="1"/>
    <col min="7431" max="7431" width="14.1796875" style="33" customWidth="1"/>
    <col min="7432" max="7432" width="10.81640625" style="33" bestFit="1" customWidth="1"/>
    <col min="7433" max="7433" width="11.7265625" style="33" customWidth="1"/>
    <col min="7434" max="7434" width="12.81640625" style="33" bestFit="1" customWidth="1"/>
    <col min="7435" max="7436" width="10.7265625" style="33" customWidth="1"/>
    <col min="7437" max="7437" width="11.7265625" style="33" customWidth="1"/>
    <col min="7438" max="7682" width="8.81640625" style="33"/>
    <col min="7683" max="7683" width="9.26953125" style="33" bestFit="1" customWidth="1"/>
    <col min="7684" max="7684" width="11.26953125" style="33" bestFit="1" customWidth="1"/>
    <col min="7685" max="7686" width="11.7265625" style="33" customWidth="1"/>
    <col min="7687" max="7687" width="14.1796875" style="33" customWidth="1"/>
    <col min="7688" max="7688" width="10.81640625" style="33" bestFit="1" customWidth="1"/>
    <col min="7689" max="7689" width="11.7265625" style="33" customWidth="1"/>
    <col min="7690" max="7690" width="12.81640625" style="33" bestFit="1" customWidth="1"/>
    <col min="7691" max="7692" width="10.7265625" style="33" customWidth="1"/>
    <col min="7693" max="7693" width="11.7265625" style="33" customWidth="1"/>
    <col min="7694" max="7938" width="8.81640625" style="33"/>
    <col min="7939" max="7939" width="9.26953125" style="33" bestFit="1" customWidth="1"/>
    <col min="7940" max="7940" width="11.26953125" style="33" bestFit="1" customWidth="1"/>
    <col min="7941" max="7942" width="11.7265625" style="33" customWidth="1"/>
    <col min="7943" max="7943" width="14.1796875" style="33" customWidth="1"/>
    <col min="7944" max="7944" width="10.81640625" style="33" bestFit="1" customWidth="1"/>
    <col min="7945" max="7945" width="11.7265625" style="33" customWidth="1"/>
    <col min="7946" max="7946" width="12.81640625" style="33" bestFit="1" customWidth="1"/>
    <col min="7947" max="7948" width="10.7265625" style="33" customWidth="1"/>
    <col min="7949" max="7949" width="11.7265625" style="33" customWidth="1"/>
    <col min="7950" max="8194" width="8.81640625" style="33"/>
    <col min="8195" max="8195" width="9.26953125" style="33" bestFit="1" customWidth="1"/>
    <col min="8196" max="8196" width="11.26953125" style="33" bestFit="1" customWidth="1"/>
    <col min="8197" max="8198" width="11.7265625" style="33" customWidth="1"/>
    <col min="8199" max="8199" width="14.1796875" style="33" customWidth="1"/>
    <col min="8200" max="8200" width="10.81640625" style="33" bestFit="1" customWidth="1"/>
    <col min="8201" max="8201" width="11.7265625" style="33" customWidth="1"/>
    <col min="8202" max="8202" width="12.81640625" style="33" bestFit="1" customWidth="1"/>
    <col min="8203" max="8204" width="10.7265625" style="33" customWidth="1"/>
    <col min="8205" max="8205" width="11.7265625" style="33" customWidth="1"/>
    <col min="8206" max="8450" width="8.81640625" style="33"/>
    <col min="8451" max="8451" width="9.26953125" style="33" bestFit="1" customWidth="1"/>
    <col min="8452" max="8452" width="11.26953125" style="33" bestFit="1" customWidth="1"/>
    <col min="8453" max="8454" width="11.7265625" style="33" customWidth="1"/>
    <col min="8455" max="8455" width="14.1796875" style="33" customWidth="1"/>
    <col min="8456" max="8456" width="10.81640625" style="33" bestFit="1" customWidth="1"/>
    <col min="8457" max="8457" width="11.7265625" style="33" customWidth="1"/>
    <col min="8458" max="8458" width="12.81640625" style="33" bestFit="1" customWidth="1"/>
    <col min="8459" max="8460" width="10.7265625" style="33" customWidth="1"/>
    <col min="8461" max="8461" width="11.7265625" style="33" customWidth="1"/>
    <col min="8462" max="8706" width="8.81640625" style="33"/>
    <col min="8707" max="8707" width="9.26953125" style="33" bestFit="1" customWidth="1"/>
    <col min="8708" max="8708" width="11.26953125" style="33" bestFit="1" customWidth="1"/>
    <col min="8709" max="8710" width="11.7265625" style="33" customWidth="1"/>
    <col min="8711" max="8711" width="14.1796875" style="33" customWidth="1"/>
    <col min="8712" max="8712" width="10.81640625" style="33" bestFit="1" customWidth="1"/>
    <col min="8713" max="8713" width="11.7265625" style="33" customWidth="1"/>
    <col min="8714" max="8714" width="12.81640625" style="33" bestFit="1" customWidth="1"/>
    <col min="8715" max="8716" width="10.7265625" style="33" customWidth="1"/>
    <col min="8717" max="8717" width="11.7265625" style="33" customWidth="1"/>
    <col min="8718" max="8962" width="8.81640625" style="33"/>
    <col min="8963" max="8963" width="9.26953125" style="33" bestFit="1" customWidth="1"/>
    <col min="8964" max="8964" width="11.26953125" style="33" bestFit="1" customWidth="1"/>
    <col min="8965" max="8966" width="11.7265625" style="33" customWidth="1"/>
    <col min="8967" max="8967" width="14.1796875" style="33" customWidth="1"/>
    <col min="8968" max="8968" width="10.81640625" style="33" bestFit="1" customWidth="1"/>
    <col min="8969" max="8969" width="11.7265625" style="33" customWidth="1"/>
    <col min="8970" max="8970" width="12.81640625" style="33" bestFit="1" customWidth="1"/>
    <col min="8971" max="8972" width="10.7265625" style="33" customWidth="1"/>
    <col min="8973" max="8973" width="11.7265625" style="33" customWidth="1"/>
    <col min="8974" max="9218" width="8.81640625" style="33"/>
    <col min="9219" max="9219" width="9.26953125" style="33" bestFit="1" customWidth="1"/>
    <col min="9220" max="9220" width="11.26953125" style="33" bestFit="1" customWidth="1"/>
    <col min="9221" max="9222" width="11.7265625" style="33" customWidth="1"/>
    <col min="9223" max="9223" width="14.1796875" style="33" customWidth="1"/>
    <col min="9224" max="9224" width="10.81640625" style="33" bestFit="1" customWidth="1"/>
    <col min="9225" max="9225" width="11.7265625" style="33" customWidth="1"/>
    <col min="9226" max="9226" width="12.81640625" style="33" bestFit="1" customWidth="1"/>
    <col min="9227" max="9228" width="10.7265625" style="33" customWidth="1"/>
    <col min="9229" max="9229" width="11.7265625" style="33" customWidth="1"/>
    <col min="9230" max="9474" width="8.81640625" style="33"/>
    <col min="9475" max="9475" width="9.26953125" style="33" bestFit="1" customWidth="1"/>
    <col min="9476" max="9476" width="11.26953125" style="33" bestFit="1" customWidth="1"/>
    <col min="9477" max="9478" width="11.7265625" style="33" customWidth="1"/>
    <col min="9479" max="9479" width="14.1796875" style="33" customWidth="1"/>
    <col min="9480" max="9480" width="10.81640625" style="33" bestFit="1" customWidth="1"/>
    <col min="9481" max="9481" width="11.7265625" style="33" customWidth="1"/>
    <col min="9482" max="9482" width="12.81640625" style="33" bestFit="1" customWidth="1"/>
    <col min="9483" max="9484" width="10.7265625" style="33" customWidth="1"/>
    <col min="9485" max="9485" width="11.7265625" style="33" customWidth="1"/>
    <col min="9486" max="9730" width="8.81640625" style="33"/>
    <col min="9731" max="9731" width="9.26953125" style="33" bestFit="1" customWidth="1"/>
    <col min="9732" max="9732" width="11.26953125" style="33" bestFit="1" customWidth="1"/>
    <col min="9733" max="9734" width="11.7265625" style="33" customWidth="1"/>
    <col min="9735" max="9735" width="14.1796875" style="33" customWidth="1"/>
    <col min="9736" max="9736" width="10.81640625" style="33" bestFit="1" customWidth="1"/>
    <col min="9737" max="9737" width="11.7265625" style="33" customWidth="1"/>
    <col min="9738" max="9738" width="12.81640625" style="33" bestFit="1" customWidth="1"/>
    <col min="9739" max="9740" width="10.7265625" style="33" customWidth="1"/>
    <col min="9741" max="9741" width="11.7265625" style="33" customWidth="1"/>
    <col min="9742" max="9986" width="8.81640625" style="33"/>
    <col min="9987" max="9987" width="9.26953125" style="33" bestFit="1" customWidth="1"/>
    <col min="9988" max="9988" width="11.26953125" style="33" bestFit="1" customWidth="1"/>
    <col min="9989" max="9990" width="11.7265625" style="33" customWidth="1"/>
    <col min="9991" max="9991" width="14.1796875" style="33" customWidth="1"/>
    <col min="9992" max="9992" width="10.81640625" style="33" bestFit="1" customWidth="1"/>
    <col min="9993" max="9993" width="11.7265625" style="33" customWidth="1"/>
    <col min="9994" max="9994" width="12.81640625" style="33" bestFit="1" customWidth="1"/>
    <col min="9995" max="9996" width="10.7265625" style="33" customWidth="1"/>
    <col min="9997" max="9997" width="11.7265625" style="33" customWidth="1"/>
    <col min="9998" max="10242" width="8.81640625" style="33"/>
    <col min="10243" max="10243" width="9.26953125" style="33" bestFit="1" customWidth="1"/>
    <col min="10244" max="10244" width="11.26953125" style="33" bestFit="1" customWidth="1"/>
    <col min="10245" max="10246" width="11.7265625" style="33" customWidth="1"/>
    <col min="10247" max="10247" width="14.1796875" style="33" customWidth="1"/>
    <col min="10248" max="10248" width="10.81640625" style="33" bestFit="1" customWidth="1"/>
    <col min="10249" max="10249" width="11.7265625" style="33" customWidth="1"/>
    <col min="10250" max="10250" width="12.81640625" style="33" bestFit="1" customWidth="1"/>
    <col min="10251" max="10252" width="10.7265625" style="33" customWidth="1"/>
    <col min="10253" max="10253" width="11.7265625" style="33" customWidth="1"/>
    <col min="10254" max="10498" width="8.81640625" style="33"/>
    <col min="10499" max="10499" width="9.26953125" style="33" bestFit="1" customWidth="1"/>
    <col min="10500" max="10500" width="11.26953125" style="33" bestFit="1" customWidth="1"/>
    <col min="10501" max="10502" width="11.7265625" style="33" customWidth="1"/>
    <col min="10503" max="10503" width="14.1796875" style="33" customWidth="1"/>
    <col min="10504" max="10504" width="10.81640625" style="33" bestFit="1" customWidth="1"/>
    <col min="10505" max="10505" width="11.7265625" style="33" customWidth="1"/>
    <col min="10506" max="10506" width="12.81640625" style="33" bestFit="1" customWidth="1"/>
    <col min="10507" max="10508" width="10.7265625" style="33" customWidth="1"/>
    <col min="10509" max="10509" width="11.7265625" style="33" customWidth="1"/>
    <col min="10510" max="10754" width="8.81640625" style="33"/>
    <col min="10755" max="10755" width="9.26953125" style="33" bestFit="1" customWidth="1"/>
    <col min="10756" max="10756" width="11.26953125" style="33" bestFit="1" customWidth="1"/>
    <col min="10757" max="10758" width="11.7265625" style="33" customWidth="1"/>
    <col min="10759" max="10759" width="14.1796875" style="33" customWidth="1"/>
    <col min="10760" max="10760" width="10.81640625" style="33" bestFit="1" customWidth="1"/>
    <col min="10761" max="10761" width="11.7265625" style="33" customWidth="1"/>
    <col min="10762" max="10762" width="12.81640625" style="33" bestFit="1" customWidth="1"/>
    <col min="10763" max="10764" width="10.7265625" style="33" customWidth="1"/>
    <col min="10765" max="10765" width="11.7265625" style="33" customWidth="1"/>
    <col min="10766" max="11010" width="8.81640625" style="33"/>
    <col min="11011" max="11011" width="9.26953125" style="33" bestFit="1" customWidth="1"/>
    <col min="11012" max="11012" width="11.26953125" style="33" bestFit="1" customWidth="1"/>
    <col min="11013" max="11014" width="11.7265625" style="33" customWidth="1"/>
    <col min="11015" max="11015" width="14.1796875" style="33" customWidth="1"/>
    <col min="11016" max="11016" width="10.81640625" style="33" bestFit="1" customWidth="1"/>
    <col min="11017" max="11017" width="11.7265625" style="33" customWidth="1"/>
    <col min="11018" max="11018" width="12.81640625" style="33" bestFit="1" customWidth="1"/>
    <col min="11019" max="11020" width="10.7265625" style="33" customWidth="1"/>
    <col min="11021" max="11021" width="11.7265625" style="33" customWidth="1"/>
    <col min="11022" max="11266" width="8.81640625" style="33"/>
    <col min="11267" max="11267" width="9.26953125" style="33" bestFit="1" customWidth="1"/>
    <col min="11268" max="11268" width="11.26953125" style="33" bestFit="1" customWidth="1"/>
    <col min="11269" max="11270" width="11.7265625" style="33" customWidth="1"/>
    <col min="11271" max="11271" width="14.1796875" style="33" customWidth="1"/>
    <col min="11272" max="11272" width="10.81640625" style="33" bestFit="1" customWidth="1"/>
    <col min="11273" max="11273" width="11.7265625" style="33" customWidth="1"/>
    <col min="11274" max="11274" width="12.81640625" style="33" bestFit="1" customWidth="1"/>
    <col min="11275" max="11276" width="10.7265625" style="33" customWidth="1"/>
    <col min="11277" max="11277" width="11.7265625" style="33" customWidth="1"/>
    <col min="11278" max="11522" width="8.81640625" style="33"/>
    <col min="11523" max="11523" width="9.26953125" style="33" bestFit="1" customWidth="1"/>
    <col min="11524" max="11524" width="11.26953125" style="33" bestFit="1" customWidth="1"/>
    <col min="11525" max="11526" width="11.7265625" style="33" customWidth="1"/>
    <col min="11527" max="11527" width="14.1796875" style="33" customWidth="1"/>
    <col min="11528" max="11528" width="10.81640625" style="33" bestFit="1" customWidth="1"/>
    <col min="11529" max="11529" width="11.7265625" style="33" customWidth="1"/>
    <col min="11530" max="11530" width="12.81640625" style="33" bestFit="1" customWidth="1"/>
    <col min="11531" max="11532" width="10.7265625" style="33" customWidth="1"/>
    <col min="11533" max="11533" width="11.7265625" style="33" customWidth="1"/>
    <col min="11534" max="11778" width="8.81640625" style="33"/>
    <col min="11779" max="11779" width="9.26953125" style="33" bestFit="1" customWidth="1"/>
    <col min="11780" max="11780" width="11.26953125" style="33" bestFit="1" customWidth="1"/>
    <col min="11781" max="11782" width="11.7265625" style="33" customWidth="1"/>
    <col min="11783" max="11783" width="14.1796875" style="33" customWidth="1"/>
    <col min="11784" max="11784" width="10.81640625" style="33" bestFit="1" customWidth="1"/>
    <col min="11785" max="11785" width="11.7265625" style="33" customWidth="1"/>
    <col min="11786" max="11786" width="12.81640625" style="33" bestFit="1" customWidth="1"/>
    <col min="11787" max="11788" width="10.7265625" style="33" customWidth="1"/>
    <col min="11789" max="11789" width="11.7265625" style="33" customWidth="1"/>
    <col min="11790" max="12034" width="8.81640625" style="33"/>
    <col min="12035" max="12035" width="9.26953125" style="33" bestFit="1" customWidth="1"/>
    <col min="12036" max="12036" width="11.26953125" style="33" bestFit="1" customWidth="1"/>
    <col min="12037" max="12038" width="11.7265625" style="33" customWidth="1"/>
    <col min="12039" max="12039" width="14.1796875" style="33" customWidth="1"/>
    <col min="12040" max="12040" width="10.81640625" style="33" bestFit="1" customWidth="1"/>
    <col min="12041" max="12041" width="11.7265625" style="33" customWidth="1"/>
    <col min="12042" max="12042" width="12.81640625" style="33" bestFit="1" customWidth="1"/>
    <col min="12043" max="12044" width="10.7265625" style="33" customWidth="1"/>
    <col min="12045" max="12045" width="11.7265625" style="33" customWidth="1"/>
    <col min="12046" max="12290" width="8.81640625" style="33"/>
    <col min="12291" max="12291" width="9.26953125" style="33" bestFit="1" customWidth="1"/>
    <col min="12292" max="12292" width="11.26953125" style="33" bestFit="1" customWidth="1"/>
    <col min="12293" max="12294" width="11.7265625" style="33" customWidth="1"/>
    <col min="12295" max="12295" width="14.1796875" style="33" customWidth="1"/>
    <col min="12296" max="12296" width="10.81640625" style="33" bestFit="1" customWidth="1"/>
    <col min="12297" max="12297" width="11.7265625" style="33" customWidth="1"/>
    <col min="12298" max="12298" width="12.81640625" style="33" bestFit="1" customWidth="1"/>
    <col min="12299" max="12300" width="10.7265625" style="33" customWidth="1"/>
    <col min="12301" max="12301" width="11.7265625" style="33" customWidth="1"/>
    <col min="12302" max="12546" width="8.81640625" style="33"/>
    <col min="12547" max="12547" width="9.26953125" style="33" bestFit="1" customWidth="1"/>
    <col min="12548" max="12548" width="11.26953125" style="33" bestFit="1" customWidth="1"/>
    <col min="12549" max="12550" width="11.7265625" style="33" customWidth="1"/>
    <col min="12551" max="12551" width="14.1796875" style="33" customWidth="1"/>
    <col min="12552" max="12552" width="10.81640625" style="33" bestFit="1" customWidth="1"/>
    <col min="12553" max="12553" width="11.7265625" style="33" customWidth="1"/>
    <col min="12554" max="12554" width="12.81640625" style="33" bestFit="1" customWidth="1"/>
    <col min="12555" max="12556" width="10.7265625" style="33" customWidth="1"/>
    <col min="12557" max="12557" width="11.7265625" style="33" customWidth="1"/>
    <col min="12558" max="12802" width="8.81640625" style="33"/>
    <col min="12803" max="12803" width="9.26953125" style="33" bestFit="1" customWidth="1"/>
    <col min="12804" max="12804" width="11.26953125" style="33" bestFit="1" customWidth="1"/>
    <col min="12805" max="12806" width="11.7265625" style="33" customWidth="1"/>
    <col min="12807" max="12807" width="14.1796875" style="33" customWidth="1"/>
    <col min="12808" max="12808" width="10.81640625" style="33" bestFit="1" customWidth="1"/>
    <col min="12809" max="12809" width="11.7265625" style="33" customWidth="1"/>
    <col min="12810" max="12810" width="12.81640625" style="33" bestFit="1" customWidth="1"/>
    <col min="12811" max="12812" width="10.7265625" style="33" customWidth="1"/>
    <col min="12813" max="12813" width="11.7265625" style="33" customWidth="1"/>
    <col min="12814" max="13058" width="8.81640625" style="33"/>
    <col min="13059" max="13059" width="9.26953125" style="33" bestFit="1" customWidth="1"/>
    <col min="13060" max="13060" width="11.26953125" style="33" bestFit="1" customWidth="1"/>
    <col min="13061" max="13062" width="11.7265625" style="33" customWidth="1"/>
    <col min="13063" max="13063" width="14.1796875" style="33" customWidth="1"/>
    <col min="13064" max="13064" width="10.81640625" style="33" bestFit="1" customWidth="1"/>
    <col min="13065" max="13065" width="11.7265625" style="33" customWidth="1"/>
    <col min="13066" max="13066" width="12.81640625" style="33" bestFit="1" customWidth="1"/>
    <col min="13067" max="13068" width="10.7265625" style="33" customWidth="1"/>
    <col min="13069" max="13069" width="11.7265625" style="33" customWidth="1"/>
    <col min="13070" max="13314" width="8.81640625" style="33"/>
    <col min="13315" max="13315" width="9.26953125" style="33" bestFit="1" customWidth="1"/>
    <col min="13316" max="13316" width="11.26953125" style="33" bestFit="1" customWidth="1"/>
    <col min="13317" max="13318" width="11.7265625" style="33" customWidth="1"/>
    <col min="13319" max="13319" width="14.1796875" style="33" customWidth="1"/>
    <col min="13320" max="13320" width="10.81640625" style="33" bestFit="1" customWidth="1"/>
    <col min="13321" max="13321" width="11.7265625" style="33" customWidth="1"/>
    <col min="13322" max="13322" width="12.81640625" style="33" bestFit="1" customWidth="1"/>
    <col min="13323" max="13324" width="10.7265625" style="33" customWidth="1"/>
    <col min="13325" max="13325" width="11.7265625" style="33" customWidth="1"/>
    <col min="13326" max="13570" width="8.81640625" style="33"/>
    <col min="13571" max="13571" width="9.26953125" style="33" bestFit="1" customWidth="1"/>
    <col min="13572" max="13572" width="11.26953125" style="33" bestFit="1" customWidth="1"/>
    <col min="13573" max="13574" width="11.7265625" style="33" customWidth="1"/>
    <col min="13575" max="13575" width="14.1796875" style="33" customWidth="1"/>
    <col min="13576" max="13576" width="10.81640625" style="33" bestFit="1" customWidth="1"/>
    <col min="13577" max="13577" width="11.7265625" style="33" customWidth="1"/>
    <col min="13578" max="13578" width="12.81640625" style="33" bestFit="1" customWidth="1"/>
    <col min="13579" max="13580" width="10.7265625" style="33" customWidth="1"/>
    <col min="13581" max="13581" width="11.7265625" style="33" customWidth="1"/>
    <col min="13582" max="13826" width="8.81640625" style="33"/>
    <col min="13827" max="13827" width="9.26953125" style="33" bestFit="1" customWidth="1"/>
    <col min="13828" max="13828" width="11.26953125" style="33" bestFit="1" customWidth="1"/>
    <col min="13829" max="13830" width="11.7265625" style="33" customWidth="1"/>
    <col min="13831" max="13831" width="14.1796875" style="33" customWidth="1"/>
    <col min="13832" max="13832" width="10.81640625" style="33" bestFit="1" customWidth="1"/>
    <col min="13833" max="13833" width="11.7265625" style="33" customWidth="1"/>
    <col min="13834" max="13834" width="12.81640625" style="33" bestFit="1" customWidth="1"/>
    <col min="13835" max="13836" width="10.7265625" style="33" customWidth="1"/>
    <col min="13837" max="13837" width="11.7265625" style="33" customWidth="1"/>
    <col min="13838" max="14082" width="8.81640625" style="33"/>
    <col min="14083" max="14083" width="9.26953125" style="33" bestFit="1" customWidth="1"/>
    <col min="14084" max="14084" width="11.26953125" style="33" bestFit="1" customWidth="1"/>
    <col min="14085" max="14086" width="11.7265625" style="33" customWidth="1"/>
    <col min="14087" max="14087" width="14.1796875" style="33" customWidth="1"/>
    <col min="14088" max="14088" width="10.81640625" style="33" bestFit="1" customWidth="1"/>
    <col min="14089" max="14089" width="11.7265625" style="33" customWidth="1"/>
    <col min="14090" max="14090" width="12.81640625" style="33" bestFit="1" customWidth="1"/>
    <col min="14091" max="14092" width="10.7265625" style="33" customWidth="1"/>
    <col min="14093" max="14093" width="11.7265625" style="33" customWidth="1"/>
    <col min="14094" max="14338" width="8.81640625" style="33"/>
    <col min="14339" max="14339" width="9.26953125" style="33" bestFit="1" customWidth="1"/>
    <col min="14340" max="14340" width="11.26953125" style="33" bestFit="1" customWidth="1"/>
    <col min="14341" max="14342" width="11.7265625" style="33" customWidth="1"/>
    <col min="14343" max="14343" width="14.1796875" style="33" customWidth="1"/>
    <col min="14344" max="14344" width="10.81640625" style="33" bestFit="1" customWidth="1"/>
    <col min="14345" max="14345" width="11.7265625" style="33" customWidth="1"/>
    <col min="14346" max="14346" width="12.81640625" style="33" bestFit="1" customWidth="1"/>
    <col min="14347" max="14348" width="10.7265625" style="33" customWidth="1"/>
    <col min="14349" max="14349" width="11.7265625" style="33" customWidth="1"/>
    <col min="14350" max="14594" width="8.81640625" style="33"/>
    <col min="14595" max="14595" width="9.26953125" style="33" bestFit="1" customWidth="1"/>
    <col min="14596" max="14596" width="11.26953125" style="33" bestFit="1" customWidth="1"/>
    <col min="14597" max="14598" width="11.7265625" style="33" customWidth="1"/>
    <col min="14599" max="14599" width="14.1796875" style="33" customWidth="1"/>
    <col min="14600" max="14600" width="10.81640625" style="33" bestFit="1" customWidth="1"/>
    <col min="14601" max="14601" width="11.7265625" style="33" customWidth="1"/>
    <col min="14602" max="14602" width="12.81640625" style="33" bestFit="1" customWidth="1"/>
    <col min="14603" max="14604" width="10.7265625" style="33" customWidth="1"/>
    <col min="14605" max="14605" width="11.7265625" style="33" customWidth="1"/>
    <col min="14606" max="14850" width="8.81640625" style="33"/>
    <col min="14851" max="14851" width="9.26953125" style="33" bestFit="1" customWidth="1"/>
    <col min="14852" max="14852" width="11.26953125" style="33" bestFit="1" customWidth="1"/>
    <col min="14853" max="14854" width="11.7265625" style="33" customWidth="1"/>
    <col min="14855" max="14855" width="14.1796875" style="33" customWidth="1"/>
    <col min="14856" max="14856" width="10.81640625" style="33" bestFit="1" customWidth="1"/>
    <col min="14857" max="14857" width="11.7265625" style="33" customWidth="1"/>
    <col min="14858" max="14858" width="12.81640625" style="33" bestFit="1" customWidth="1"/>
    <col min="14859" max="14860" width="10.7265625" style="33" customWidth="1"/>
    <col min="14861" max="14861" width="11.7265625" style="33" customWidth="1"/>
    <col min="14862" max="15106" width="8.81640625" style="33"/>
    <col min="15107" max="15107" width="9.26953125" style="33" bestFit="1" customWidth="1"/>
    <col min="15108" max="15108" width="11.26953125" style="33" bestFit="1" customWidth="1"/>
    <col min="15109" max="15110" width="11.7265625" style="33" customWidth="1"/>
    <col min="15111" max="15111" width="14.1796875" style="33" customWidth="1"/>
    <col min="15112" max="15112" width="10.81640625" style="33" bestFit="1" customWidth="1"/>
    <col min="15113" max="15113" width="11.7265625" style="33" customWidth="1"/>
    <col min="15114" max="15114" width="12.81640625" style="33" bestFit="1" customWidth="1"/>
    <col min="15115" max="15116" width="10.7265625" style="33" customWidth="1"/>
    <col min="15117" max="15117" width="11.7265625" style="33" customWidth="1"/>
    <col min="15118" max="15362" width="8.81640625" style="33"/>
    <col min="15363" max="15363" width="9.26953125" style="33" bestFit="1" customWidth="1"/>
    <col min="15364" max="15364" width="11.26953125" style="33" bestFit="1" customWidth="1"/>
    <col min="15365" max="15366" width="11.7265625" style="33" customWidth="1"/>
    <col min="15367" max="15367" width="14.1796875" style="33" customWidth="1"/>
    <col min="15368" max="15368" width="10.81640625" style="33" bestFit="1" customWidth="1"/>
    <col min="15369" max="15369" width="11.7265625" style="33" customWidth="1"/>
    <col min="15370" max="15370" width="12.81640625" style="33" bestFit="1" customWidth="1"/>
    <col min="15371" max="15372" width="10.7265625" style="33" customWidth="1"/>
    <col min="15373" max="15373" width="11.7265625" style="33" customWidth="1"/>
    <col min="15374" max="15618" width="8.81640625" style="33"/>
    <col min="15619" max="15619" width="9.26953125" style="33" bestFit="1" customWidth="1"/>
    <col min="15620" max="15620" width="11.26953125" style="33" bestFit="1" customWidth="1"/>
    <col min="15621" max="15622" width="11.7265625" style="33" customWidth="1"/>
    <col min="15623" max="15623" width="14.1796875" style="33" customWidth="1"/>
    <col min="15624" max="15624" width="10.81640625" style="33" bestFit="1" customWidth="1"/>
    <col min="15625" max="15625" width="11.7265625" style="33" customWidth="1"/>
    <col min="15626" max="15626" width="12.81640625" style="33" bestFit="1" customWidth="1"/>
    <col min="15627" max="15628" width="10.7265625" style="33" customWidth="1"/>
    <col min="15629" max="15629" width="11.7265625" style="33" customWidth="1"/>
    <col min="15630" max="15874" width="8.81640625" style="33"/>
    <col min="15875" max="15875" width="9.26953125" style="33" bestFit="1" customWidth="1"/>
    <col min="15876" max="15876" width="11.26953125" style="33" bestFit="1" customWidth="1"/>
    <col min="15877" max="15878" width="11.7265625" style="33" customWidth="1"/>
    <col min="15879" max="15879" width="14.1796875" style="33" customWidth="1"/>
    <col min="15880" max="15880" width="10.81640625" style="33" bestFit="1" customWidth="1"/>
    <col min="15881" max="15881" width="11.7265625" style="33" customWidth="1"/>
    <col min="15882" max="15882" width="12.81640625" style="33" bestFit="1" customWidth="1"/>
    <col min="15883" max="15884" width="10.7265625" style="33" customWidth="1"/>
    <col min="15885" max="15885" width="11.7265625" style="33" customWidth="1"/>
    <col min="15886" max="16130" width="8.81640625" style="33"/>
    <col min="16131" max="16131" width="9.26953125" style="33" bestFit="1" customWidth="1"/>
    <col min="16132" max="16132" width="11.26953125" style="33" bestFit="1" customWidth="1"/>
    <col min="16133" max="16134" width="11.7265625" style="33" customWidth="1"/>
    <col min="16135" max="16135" width="14.1796875" style="33" customWidth="1"/>
    <col min="16136" max="16136" width="10.81640625" style="33" bestFit="1" customWidth="1"/>
    <col min="16137" max="16137" width="11.7265625" style="33" customWidth="1"/>
    <col min="16138" max="16138" width="12.81640625" style="33" bestFit="1" customWidth="1"/>
    <col min="16139" max="16140" width="10.7265625" style="33" customWidth="1"/>
    <col min="16141" max="16141" width="11.7265625" style="33" customWidth="1"/>
    <col min="16142" max="16384" width="8.81640625" style="33"/>
  </cols>
  <sheetData>
    <row r="1" spans="1:13" s="39" customFormat="1" ht="18.5" x14ac:dyDescent="0.45">
      <c r="A1" s="41" t="str">
        <f>CoName</f>
        <v>Carey Transportation, Inc.</v>
      </c>
      <c r="B1" s="42"/>
      <c r="C1" s="42"/>
      <c r="D1" s="43"/>
      <c r="E1" s="44"/>
      <c r="F1" s="44"/>
      <c r="G1" s="44"/>
      <c r="H1" s="44"/>
      <c r="I1" s="44"/>
      <c r="J1" s="44"/>
      <c r="K1" s="44"/>
      <c r="L1" s="44"/>
      <c r="M1" s="45"/>
    </row>
    <row r="2" spans="1:13" ht="18.5" x14ac:dyDescent="0.45">
      <c r="A2" s="95" t="s">
        <v>226</v>
      </c>
      <c r="B2" s="46"/>
      <c r="C2" s="46"/>
      <c r="D2" s="47"/>
      <c r="E2" s="46"/>
      <c r="F2" s="46"/>
      <c r="G2" s="47"/>
      <c r="H2" s="46"/>
      <c r="I2" s="46"/>
      <c r="J2" s="47"/>
      <c r="K2" s="47"/>
      <c r="L2" s="46"/>
      <c r="M2" s="48"/>
    </row>
    <row r="4" spans="1:13" ht="13" x14ac:dyDescent="0.3">
      <c r="D4" s="49"/>
      <c r="E4" s="50"/>
      <c r="F4" s="51" t="s">
        <v>227</v>
      </c>
      <c r="G4" s="52">
        <f>'Purch Analysis'!C14</f>
        <v>600000</v>
      </c>
      <c r="H4" s="53"/>
      <c r="J4" s="33"/>
    </row>
    <row r="5" spans="1:13" ht="13" x14ac:dyDescent="0.3">
      <c r="D5" s="54"/>
      <c r="E5" s="55"/>
      <c r="F5" s="56" t="s">
        <v>228</v>
      </c>
      <c r="G5" s="57">
        <v>8.5000000000000006E-2</v>
      </c>
      <c r="H5" s="58"/>
      <c r="J5" s="33"/>
    </row>
    <row r="6" spans="1:13" ht="13" x14ac:dyDescent="0.3">
      <c r="D6" s="54"/>
      <c r="E6" s="55"/>
      <c r="F6" s="56" t="s">
        <v>229</v>
      </c>
      <c r="G6" s="59">
        <v>8</v>
      </c>
      <c r="H6" s="58"/>
      <c r="J6" s="33"/>
    </row>
    <row r="7" spans="1:13" ht="13" hidden="1" x14ac:dyDescent="0.3">
      <c r="D7" s="54"/>
      <c r="E7" s="55"/>
      <c r="F7" s="56" t="s">
        <v>230</v>
      </c>
      <c r="G7" s="59">
        <v>12</v>
      </c>
      <c r="H7" s="58"/>
      <c r="J7" s="33"/>
    </row>
    <row r="8" spans="1:13" ht="13" x14ac:dyDescent="0.3">
      <c r="D8" s="60"/>
      <c r="E8" s="61"/>
      <c r="F8" s="62" t="s">
        <v>17</v>
      </c>
      <c r="G8" s="199">
        <f>-PMT(G5/12,G6*12,G4)</f>
        <v>8635.2771499771916</v>
      </c>
      <c r="H8" s="63"/>
      <c r="J8" s="33"/>
    </row>
    <row r="9" spans="1:13" ht="13" x14ac:dyDescent="0.3">
      <c r="D9" s="90"/>
      <c r="E9" s="91"/>
      <c r="F9" s="93" t="s">
        <v>255</v>
      </c>
      <c r="G9" s="94">
        <v>18</v>
      </c>
      <c r="H9" s="92"/>
      <c r="J9" s="33"/>
    </row>
    <row r="12" spans="1:13" ht="32.25" customHeight="1" x14ac:dyDescent="0.3">
      <c r="A12" s="64" t="s">
        <v>231</v>
      </c>
      <c r="B12" s="64" t="s">
        <v>232</v>
      </c>
      <c r="C12" s="64" t="s">
        <v>298</v>
      </c>
      <c r="D12" s="65" t="s">
        <v>233</v>
      </c>
      <c r="E12" s="66" t="s">
        <v>234</v>
      </c>
      <c r="F12" s="66" t="s">
        <v>235</v>
      </c>
      <c r="G12" s="65" t="s">
        <v>236</v>
      </c>
      <c r="H12" s="67" t="s">
        <v>237</v>
      </c>
      <c r="I12" s="65" t="s">
        <v>238</v>
      </c>
      <c r="J12" s="65" t="s">
        <v>239</v>
      </c>
      <c r="K12" s="65" t="s">
        <v>240</v>
      </c>
      <c r="L12" s="65" t="s">
        <v>241</v>
      </c>
      <c r="M12" s="65" t="s">
        <v>242</v>
      </c>
    </row>
    <row r="13" spans="1:13" x14ac:dyDescent="0.25">
      <c r="C13" s="195"/>
    </row>
    <row r="19" spans="2:13" x14ac:dyDescent="0.25"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5"/>
    </row>
  </sheetData>
  <printOptions headings="1" gridLines="1"/>
  <pageMargins left="0.2" right="0.2" top="0.5" bottom="0.5" header="0.2" footer="0.2"/>
  <pageSetup fitToHeight="100" orientation="landscape" r:id="rId1"/>
  <headerFooter>
    <oddFooter>&amp;L&amp;10Printed:  &amp;D  &amp;T&amp;CPage &amp;P of &amp;N&amp;R&amp;10&amp;A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E30"/>
  <sheetViews>
    <sheetView zoomScale="120" zoomScaleNormal="120" workbookViewId="0">
      <pane xSplit="1" ySplit="4" topLeftCell="B5" activePane="bottomRight" state="frozen"/>
      <selection activeCell="B11" sqref="B11"/>
      <selection pane="topRight" activeCell="B11" sqref="B11"/>
      <selection pane="bottomLeft" activeCell="B11" sqref="B11"/>
      <selection pane="bottomRight" activeCell="E22" sqref="E22"/>
    </sheetView>
  </sheetViews>
  <sheetFormatPr defaultColWidth="9.1796875" defaultRowHeight="14.5" x14ac:dyDescent="0.35"/>
  <cols>
    <col min="1" max="2" width="18.1796875" style="37" customWidth="1"/>
    <col min="3" max="4" width="11.26953125" style="105" customWidth="1"/>
    <col min="5" max="5" width="11.1796875" style="105" customWidth="1"/>
    <col min="6" max="8" width="9.1796875" style="99" customWidth="1"/>
    <col min="9" max="16384" width="9.1796875" style="99"/>
  </cols>
  <sheetData>
    <row r="1" spans="1:5" ht="18.5" x14ac:dyDescent="0.45">
      <c r="A1" s="97" t="str">
        <f>CoName</f>
        <v>Carey Transportation, Inc.</v>
      </c>
      <c r="B1" s="97"/>
      <c r="C1" s="98"/>
      <c r="D1" s="98"/>
      <c r="E1" s="98"/>
    </row>
    <row r="2" spans="1:5" x14ac:dyDescent="0.35">
      <c r="A2" s="100" t="s">
        <v>49</v>
      </c>
      <c r="B2" s="101"/>
      <c r="C2" s="98"/>
      <c r="D2" s="98"/>
      <c r="E2" s="98"/>
    </row>
    <row r="4" spans="1:5" ht="26" x14ac:dyDescent="0.3">
      <c r="A4" s="102" t="s">
        <v>50</v>
      </c>
      <c r="B4" s="102" t="s">
        <v>51</v>
      </c>
      <c r="C4" s="103" t="s">
        <v>52</v>
      </c>
      <c r="D4" s="103" t="s">
        <v>53</v>
      </c>
      <c r="E4" s="104" t="s">
        <v>54</v>
      </c>
    </row>
    <row r="5" spans="1:5" x14ac:dyDescent="0.35">
      <c r="B5" s="37" t="s">
        <v>55</v>
      </c>
      <c r="C5" s="105">
        <v>95</v>
      </c>
      <c r="D5" s="105">
        <v>500</v>
      </c>
    </row>
    <row r="6" spans="1:5" x14ac:dyDescent="0.35">
      <c r="B6" s="37" t="s">
        <v>56</v>
      </c>
      <c r="C6" s="105">
        <v>70</v>
      </c>
      <c r="D6" s="105">
        <v>1260</v>
      </c>
    </row>
    <row r="7" spans="1:5" x14ac:dyDescent="0.35">
      <c r="B7" s="37" t="s">
        <v>57</v>
      </c>
      <c r="C7" s="105">
        <v>60</v>
      </c>
      <c r="D7" s="105">
        <v>500</v>
      </c>
    </row>
    <row r="8" spans="1:5" x14ac:dyDescent="0.35">
      <c r="B8" s="37" t="s">
        <v>58</v>
      </c>
      <c r="C8" s="105">
        <v>50</v>
      </c>
      <c r="D8" s="105">
        <v>4200</v>
      </c>
    </row>
    <row r="9" spans="1:5" x14ac:dyDescent="0.35">
      <c r="B9" s="37" t="s">
        <v>59</v>
      </c>
      <c r="C9" s="105">
        <v>40</v>
      </c>
      <c r="D9" s="105">
        <v>950</v>
      </c>
    </row>
    <row r="10" spans="1:5" x14ac:dyDescent="0.35">
      <c r="B10" s="37" t="s">
        <v>60</v>
      </c>
      <c r="C10" s="105">
        <v>250</v>
      </c>
      <c r="D10" s="105">
        <v>500</v>
      </c>
    </row>
    <row r="11" spans="1:5" x14ac:dyDescent="0.35">
      <c r="B11" s="37" t="s">
        <v>61</v>
      </c>
      <c r="C11" s="105">
        <v>300</v>
      </c>
      <c r="D11" s="105">
        <v>50</v>
      </c>
    </row>
    <row r="12" spans="1:5" ht="6.75" customHeight="1" x14ac:dyDescent="0.35"/>
    <row r="13" spans="1:5" ht="15.75" customHeight="1" x14ac:dyDescent="0.35">
      <c r="A13" s="106" t="str">
        <f>Summary!A7</f>
        <v>Eastern Shore</v>
      </c>
      <c r="B13" s="200">
        <f>COUNTA(B5:B12)</f>
        <v>7</v>
      </c>
      <c r="C13" s="107"/>
      <c r="D13" s="107">
        <f>SUM(D5:D12)</f>
        <v>7960</v>
      </c>
      <c r="E13" s="108">
        <f>SUMPRODUCT(C5:C12,D5:D12)</f>
        <v>553700</v>
      </c>
    </row>
    <row r="15" spans="1:5" x14ac:dyDescent="0.35">
      <c r="B15" s="37" t="s">
        <v>4</v>
      </c>
      <c r="C15" s="105">
        <v>65</v>
      </c>
      <c r="D15" s="105">
        <v>2300</v>
      </c>
    </row>
    <row r="16" spans="1:5" x14ac:dyDescent="0.35">
      <c r="B16" s="37" t="s">
        <v>62</v>
      </c>
      <c r="C16" s="105">
        <v>55</v>
      </c>
      <c r="D16" s="105">
        <v>4000</v>
      </c>
    </row>
    <row r="17" spans="1:5" x14ac:dyDescent="0.35">
      <c r="B17" s="37" t="s">
        <v>63</v>
      </c>
      <c r="C17" s="105">
        <v>40</v>
      </c>
      <c r="D17" s="105">
        <v>1500</v>
      </c>
    </row>
    <row r="18" spans="1:5" x14ac:dyDescent="0.35">
      <c r="B18" s="37" t="s">
        <v>64</v>
      </c>
      <c r="C18" s="105">
        <v>30</v>
      </c>
      <c r="D18" s="105">
        <v>750</v>
      </c>
    </row>
    <row r="19" spans="1:5" x14ac:dyDescent="0.35">
      <c r="B19" s="37" t="s">
        <v>60</v>
      </c>
      <c r="C19" s="105">
        <v>150</v>
      </c>
      <c r="D19" s="105">
        <v>200</v>
      </c>
    </row>
    <row r="20" spans="1:5" x14ac:dyDescent="0.35">
      <c r="B20" s="37" t="s">
        <v>61</v>
      </c>
      <c r="C20" s="105">
        <v>200</v>
      </c>
      <c r="D20" s="105">
        <v>20</v>
      </c>
    </row>
    <row r="21" spans="1:5" ht="6.75" customHeight="1" x14ac:dyDescent="0.35"/>
    <row r="22" spans="1:5" ht="15.75" customHeight="1" x14ac:dyDescent="0.35">
      <c r="A22" s="106" t="str">
        <f>Summary!A6</f>
        <v>Frederick</v>
      </c>
      <c r="B22" s="200">
        <f>COUNTA(B15:B21)</f>
        <v>6</v>
      </c>
      <c r="C22" s="107"/>
      <c r="D22" s="107">
        <f>SUM(D15:D21)</f>
        <v>8770</v>
      </c>
      <c r="E22" s="108">
        <f>SUMPRODUCT(C15:C21,D15:D21)</f>
        <v>486000</v>
      </c>
    </row>
    <row r="24" spans="1:5" x14ac:dyDescent="0.35">
      <c r="B24" s="37" t="s">
        <v>60</v>
      </c>
      <c r="C24" s="105">
        <v>75</v>
      </c>
      <c r="D24" s="105">
        <v>1000</v>
      </c>
    </row>
    <row r="25" spans="1:5" x14ac:dyDescent="0.35">
      <c r="B25" s="37" t="s">
        <v>61</v>
      </c>
      <c r="C25" s="105">
        <v>90</v>
      </c>
      <c r="D25" s="105">
        <v>680</v>
      </c>
    </row>
    <row r="26" spans="1:5" ht="6.75" customHeight="1" x14ac:dyDescent="0.35"/>
    <row r="27" spans="1:5" ht="15.75" customHeight="1" x14ac:dyDescent="0.35">
      <c r="A27" s="106" t="str">
        <f>Summary!A5</f>
        <v>Baltimore</v>
      </c>
      <c r="B27" s="200">
        <f>COUNTA(B24:B26)</f>
        <v>2</v>
      </c>
      <c r="C27" s="107"/>
      <c r="D27" s="107">
        <f>SUM(D24:D26)</f>
        <v>1680</v>
      </c>
      <c r="E27" s="108">
        <f>SUMPRODUCT(C24:C26,D24:D26)</f>
        <v>136200</v>
      </c>
    </row>
    <row r="29" spans="1:5" ht="18.75" customHeight="1" thickBot="1" x14ac:dyDescent="0.4">
      <c r="A29" s="109" t="s">
        <v>65</v>
      </c>
      <c r="B29" s="201">
        <f>SUM(B27,B22,B13)</f>
        <v>15</v>
      </c>
      <c r="C29" s="110"/>
      <c r="D29" s="111">
        <f>SUM(D27,D22,D13)</f>
        <v>18410</v>
      </c>
      <c r="E29" s="111">
        <f>SUM(E27,E22,E13)</f>
        <v>1175900</v>
      </c>
    </row>
    <row r="30" spans="1:5" ht="15" thickTop="1" x14ac:dyDescent="0.35"/>
  </sheetData>
  <printOptions headings="1" gridLines="1"/>
  <pageMargins left="0.2" right="0.2" top="0.5" bottom="0.5" header="0.2" footer="0.2"/>
  <pageSetup orientation="landscape" r:id="rId1"/>
  <headerFooter>
    <oddFooter>&amp;L&amp;10Printed:  &amp;D  &amp;T&amp;CPage &amp;P of &amp;N&amp;R&amp;10&amp;A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L34"/>
  <sheetViews>
    <sheetView zoomScale="130" zoomScaleNormal="130" workbookViewId="0">
      <pane xSplit="2" ySplit="12" topLeftCell="C13" activePane="bottomRight" state="frozen"/>
      <selection pane="topRight" activeCell="C1" sqref="C1"/>
      <selection pane="bottomLeft" activeCell="A13" sqref="A13"/>
      <selection pane="bottomRight" activeCell="B2" sqref="B2"/>
    </sheetView>
  </sheetViews>
  <sheetFormatPr defaultRowHeight="14.5" outlineLevelRow="1" x14ac:dyDescent="0.35"/>
  <cols>
    <col min="1" max="1" width="34.81640625" bestFit="1" customWidth="1"/>
    <col min="2" max="2" width="12" bestFit="1" customWidth="1"/>
    <col min="3" max="3" width="11.81640625" style="15" bestFit="1" customWidth="1"/>
    <col min="4" max="12" width="11.1796875" style="15" bestFit="1" customWidth="1"/>
  </cols>
  <sheetData>
    <row r="1" spans="1:12" ht="21" x14ac:dyDescent="0.5">
      <c r="A1" s="96" t="str">
        <f>CoName</f>
        <v>Carey Transportation, Inc.</v>
      </c>
      <c r="B1" s="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5.5" x14ac:dyDescent="0.35">
      <c r="A2" s="5" t="s">
        <v>21</v>
      </c>
      <c r="B2" s="210" t="s">
        <v>313</v>
      </c>
      <c r="C2" s="13"/>
      <c r="D2" s="13"/>
      <c r="E2" s="13"/>
      <c r="F2" s="13"/>
      <c r="G2" s="13"/>
      <c r="H2" s="13"/>
      <c r="I2" s="13"/>
      <c r="J2" s="13"/>
      <c r="K2" s="13"/>
      <c r="L2" s="13"/>
    </row>
    <row r="4" spans="1:12" x14ac:dyDescent="0.35">
      <c r="A4" s="7" t="s">
        <v>22</v>
      </c>
    </row>
    <row r="5" spans="1:12" outlineLevel="1" x14ac:dyDescent="0.35">
      <c r="A5" s="19" t="s">
        <v>23</v>
      </c>
      <c r="B5" s="9"/>
    </row>
    <row r="6" spans="1:12" outlineLevel="1" x14ac:dyDescent="0.35">
      <c r="A6" s="20" t="str">
        <f>Summary!A5</f>
        <v>Baltimore</v>
      </c>
      <c r="B6" s="198">
        <v>8.5000000000000006E-2</v>
      </c>
    </row>
    <row r="7" spans="1:12" outlineLevel="1" x14ac:dyDescent="0.35">
      <c r="A7" s="20" t="str">
        <f>Summary!A6</f>
        <v>Frederick</v>
      </c>
      <c r="B7" s="198">
        <v>0.13</v>
      </c>
    </row>
    <row r="8" spans="1:12" outlineLevel="1" x14ac:dyDescent="0.35">
      <c r="A8" s="20" t="str">
        <f>Summary!A7</f>
        <v>Eastern Shore</v>
      </c>
      <c r="B8" s="198">
        <v>0.10199999999999999</v>
      </c>
    </row>
    <row r="9" spans="1:12" outlineLevel="1" x14ac:dyDescent="0.35">
      <c r="A9" s="21" t="s">
        <v>24</v>
      </c>
      <c r="B9" s="198">
        <v>0.61598240007155158</v>
      </c>
    </row>
    <row r="10" spans="1:12" outlineLevel="1" x14ac:dyDescent="0.35">
      <c r="A10" s="22" t="s">
        <v>25</v>
      </c>
      <c r="B10" s="30">
        <v>750000</v>
      </c>
    </row>
    <row r="11" spans="1:12" outlineLevel="1" x14ac:dyDescent="0.35">
      <c r="A11" s="7"/>
    </row>
    <row r="12" spans="1:12" ht="29" x14ac:dyDescent="0.35">
      <c r="A12" s="7" t="s">
        <v>37</v>
      </c>
      <c r="B12" s="23" t="s">
        <v>26</v>
      </c>
      <c r="C12" s="14" t="s">
        <v>27</v>
      </c>
      <c r="D12" s="14" t="s">
        <v>28</v>
      </c>
      <c r="E12" s="14" t="s">
        <v>29</v>
      </c>
      <c r="F12" s="14" t="s">
        <v>30</v>
      </c>
      <c r="G12" s="14" t="s">
        <v>31</v>
      </c>
      <c r="H12" s="14" t="s">
        <v>32</v>
      </c>
      <c r="I12" s="14" t="s">
        <v>33</v>
      </c>
      <c r="J12" s="14" t="s">
        <v>34</v>
      </c>
      <c r="K12" s="14" t="s">
        <v>35</v>
      </c>
      <c r="L12" s="14" t="s">
        <v>36</v>
      </c>
    </row>
    <row r="13" spans="1:12" outlineLevel="1" x14ac:dyDescent="0.35">
      <c r="A13" s="7" t="str">
        <f>Summary!A5</f>
        <v>Baltimore</v>
      </c>
      <c r="B13" s="6">
        <f>VLOOKUP(A13,$A$6:$B$8,2,FALSE)</f>
        <v>8.5000000000000006E-2</v>
      </c>
      <c r="C13" s="31">
        <f>VLOOKUP(A13,'Pax Income Proj'!$A$4:$E$27,5,FALSE)</f>
        <v>136200</v>
      </c>
      <c r="D13" s="15">
        <f>C13*(1+$B13)</f>
        <v>147777</v>
      </c>
      <c r="E13" s="15">
        <f t="shared" ref="E13:L13" si="0">D13*(1+$B13)</f>
        <v>160338.04499999998</v>
      </c>
      <c r="F13" s="15">
        <f t="shared" si="0"/>
        <v>173966.77882499999</v>
      </c>
      <c r="G13" s="15">
        <f t="shared" si="0"/>
        <v>188753.95502512497</v>
      </c>
      <c r="H13" s="15">
        <f t="shared" si="0"/>
        <v>204798.04120226059</v>
      </c>
      <c r="I13" s="15">
        <f t="shared" si="0"/>
        <v>222205.87470445273</v>
      </c>
      <c r="J13" s="15">
        <f t="shared" si="0"/>
        <v>241093.37405433119</v>
      </c>
      <c r="K13" s="15">
        <f t="shared" si="0"/>
        <v>261586.31084894933</v>
      </c>
      <c r="L13" s="15">
        <f t="shared" si="0"/>
        <v>283821.14727111004</v>
      </c>
    </row>
    <row r="14" spans="1:12" outlineLevel="1" x14ac:dyDescent="0.35">
      <c r="A14" s="7" t="str">
        <f>Summary!A6</f>
        <v>Frederick</v>
      </c>
      <c r="B14" s="6">
        <f t="shared" ref="B14:B15" si="1">VLOOKUP(A14,$A$6:$B$8,2,FALSE)</f>
        <v>0.13</v>
      </c>
      <c r="C14" s="31">
        <f>VLOOKUP(A14,'Pax Income Proj'!$A$4:$E$27,5,FALSE)</f>
        <v>486000</v>
      </c>
      <c r="D14" s="15">
        <f t="shared" ref="D14:L15" si="2">C14*(1+$B14)</f>
        <v>549180</v>
      </c>
      <c r="E14" s="15">
        <f t="shared" si="2"/>
        <v>620573.39999999991</v>
      </c>
      <c r="F14" s="15">
        <f t="shared" si="2"/>
        <v>701247.94199999981</v>
      </c>
      <c r="G14" s="15">
        <f t="shared" si="2"/>
        <v>792410.17445999966</v>
      </c>
      <c r="H14" s="15">
        <f t="shared" si="2"/>
        <v>895423.49713979953</v>
      </c>
      <c r="I14" s="15">
        <f t="shared" si="2"/>
        <v>1011828.5517679733</v>
      </c>
      <c r="J14" s="15">
        <f t="shared" si="2"/>
        <v>1143366.2634978099</v>
      </c>
      <c r="K14" s="15">
        <f t="shared" si="2"/>
        <v>1292003.877752525</v>
      </c>
      <c r="L14" s="15">
        <f t="shared" si="2"/>
        <v>1459964.3818603531</v>
      </c>
    </row>
    <row r="15" spans="1:12" outlineLevel="1" x14ac:dyDescent="0.35">
      <c r="A15" s="7" t="str">
        <f>Summary!A7</f>
        <v>Eastern Shore</v>
      </c>
      <c r="B15" s="6">
        <f t="shared" si="1"/>
        <v>0.10199999999999999</v>
      </c>
      <c r="C15" s="31">
        <f>VLOOKUP(A15,'Pax Income Proj'!$A$4:$E$27,5,FALSE)</f>
        <v>553700</v>
      </c>
      <c r="D15" s="15">
        <f t="shared" si="2"/>
        <v>610177.4</v>
      </c>
      <c r="E15" s="15">
        <f t="shared" si="2"/>
        <v>672415.4948000001</v>
      </c>
      <c r="F15" s="15">
        <f t="shared" si="2"/>
        <v>741001.87526960019</v>
      </c>
      <c r="G15" s="15">
        <f t="shared" si="2"/>
        <v>816584.0665470995</v>
      </c>
      <c r="H15" s="15">
        <f t="shared" si="2"/>
        <v>899875.64133490378</v>
      </c>
      <c r="I15" s="15">
        <f t="shared" si="2"/>
        <v>991662.95675106405</v>
      </c>
      <c r="J15" s="15">
        <f t="shared" si="2"/>
        <v>1092812.5783396726</v>
      </c>
      <c r="K15" s="15">
        <f t="shared" si="2"/>
        <v>1204279.4613303193</v>
      </c>
      <c r="L15" s="15">
        <f t="shared" si="2"/>
        <v>1327115.966386012</v>
      </c>
    </row>
    <row r="16" spans="1:12" ht="6.75" customHeight="1" x14ac:dyDescent="0.35">
      <c r="A16" s="7"/>
    </row>
    <row r="17" spans="1:12" x14ac:dyDescent="0.35">
      <c r="A17" s="7" t="s">
        <v>38</v>
      </c>
      <c r="C17" s="15">
        <f t="shared" ref="C17:L17" si="3">SUM(C13:C16)</f>
        <v>1175900</v>
      </c>
      <c r="D17" s="15">
        <f t="shared" si="3"/>
        <v>1307134.3999999999</v>
      </c>
      <c r="E17" s="15">
        <f t="shared" si="3"/>
        <v>1453326.9397999998</v>
      </c>
      <c r="F17" s="15">
        <f t="shared" si="3"/>
        <v>1616216.5960945999</v>
      </c>
      <c r="G17" s="15">
        <f t="shared" si="3"/>
        <v>1797748.1960322242</v>
      </c>
      <c r="H17" s="15">
        <f t="shared" si="3"/>
        <v>2000097.1796769639</v>
      </c>
      <c r="I17" s="15">
        <f t="shared" si="3"/>
        <v>2225697.3832234903</v>
      </c>
      <c r="J17" s="15">
        <f t="shared" si="3"/>
        <v>2477272.2158918139</v>
      </c>
      <c r="K17" s="15">
        <f t="shared" si="3"/>
        <v>2757869.6499317936</v>
      </c>
      <c r="L17" s="15">
        <f t="shared" si="3"/>
        <v>3070901.4955174751</v>
      </c>
    </row>
    <row r="18" spans="1:12" x14ac:dyDescent="0.35">
      <c r="A18" s="7"/>
    </row>
    <row r="19" spans="1:12" ht="29" x14ac:dyDescent="0.35">
      <c r="A19" s="7"/>
      <c r="B19" s="23" t="s">
        <v>39</v>
      </c>
    </row>
    <row r="20" spans="1:12" x14ac:dyDescent="0.35">
      <c r="A20" s="7" t="s">
        <v>48</v>
      </c>
      <c r="B20" s="6">
        <f>B9</f>
        <v>0.61598240007155158</v>
      </c>
      <c r="C20" s="31">
        <v>1500000</v>
      </c>
      <c r="D20" s="15">
        <f>D17*$B20</f>
        <v>805171.78492808749</v>
      </c>
      <c r="E20" s="15">
        <f t="shared" ref="E20:L20" si="4">E17*$B20</f>
        <v>895223.8164666472</v>
      </c>
      <c r="F20" s="15">
        <f t="shared" si="4"/>
        <v>995560.97789782519</v>
      </c>
      <c r="G20" s="15">
        <f t="shared" si="4"/>
        <v>1107381.2485162318</v>
      </c>
      <c r="H20" s="15">
        <f t="shared" si="4"/>
        <v>1232024.6611137576</v>
      </c>
      <c r="I20" s="15">
        <f t="shared" si="4"/>
        <v>1370990.4159509775</v>
      </c>
      <c r="J20" s="15">
        <f t="shared" si="4"/>
        <v>1525956.0851756104</v>
      </c>
      <c r="K20" s="15">
        <f t="shared" si="4"/>
        <v>1698799.166049476</v>
      </c>
      <c r="L20" s="15">
        <f t="shared" si="4"/>
        <v>1891621.2735921715</v>
      </c>
    </row>
    <row r="21" spans="1:12" ht="6.75" customHeight="1" x14ac:dyDescent="0.35">
      <c r="A21" s="7"/>
    </row>
    <row r="22" spans="1:12" ht="20.25" customHeight="1" thickBot="1" x14ac:dyDescent="0.4">
      <c r="A22" s="24" t="s">
        <v>40</v>
      </c>
      <c r="B22" s="11"/>
      <c r="C22" s="16">
        <f t="shared" ref="C22:L22" si="5">C17-C20</f>
        <v>-324100</v>
      </c>
      <c r="D22" s="16">
        <f t="shared" si="5"/>
        <v>501962.61507191241</v>
      </c>
      <c r="E22" s="16">
        <f t="shared" si="5"/>
        <v>558103.12333335262</v>
      </c>
      <c r="F22" s="16">
        <f t="shared" si="5"/>
        <v>620655.61819677474</v>
      </c>
      <c r="G22" s="16">
        <f t="shared" si="5"/>
        <v>690366.94751599245</v>
      </c>
      <c r="H22" s="16">
        <f t="shared" si="5"/>
        <v>768072.51856320631</v>
      </c>
      <c r="I22" s="16">
        <f t="shared" si="5"/>
        <v>854706.96727251285</v>
      </c>
      <c r="J22" s="16">
        <f t="shared" si="5"/>
        <v>951316.13071620348</v>
      </c>
      <c r="K22" s="16">
        <f t="shared" si="5"/>
        <v>1059070.4838823176</v>
      </c>
      <c r="L22" s="16">
        <f t="shared" si="5"/>
        <v>1179280.2219253036</v>
      </c>
    </row>
    <row r="23" spans="1:12" ht="6.75" customHeight="1" thickTop="1" x14ac:dyDescent="0.35">
      <c r="A23" s="7"/>
    </row>
    <row r="24" spans="1:12" x14ac:dyDescent="0.35">
      <c r="A24" s="7" t="s">
        <v>41</v>
      </c>
      <c r="C24" s="15">
        <f t="shared" ref="C24:L24" si="6">LoanPmt</f>
        <v>8635.2771499771916</v>
      </c>
      <c r="D24" s="15">
        <f t="shared" si="6"/>
        <v>8635.2771499771916</v>
      </c>
      <c r="E24" s="15">
        <f t="shared" si="6"/>
        <v>8635.2771499771916</v>
      </c>
      <c r="F24" s="15">
        <f t="shared" si="6"/>
        <v>8635.2771499771916</v>
      </c>
      <c r="G24" s="15">
        <f t="shared" si="6"/>
        <v>8635.2771499771916</v>
      </c>
      <c r="H24" s="15">
        <f t="shared" si="6"/>
        <v>8635.2771499771916</v>
      </c>
      <c r="I24" s="15">
        <f t="shared" si="6"/>
        <v>8635.2771499771916</v>
      </c>
      <c r="J24" s="15">
        <f t="shared" si="6"/>
        <v>8635.2771499771916</v>
      </c>
      <c r="K24" s="15">
        <f t="shared" si="6"/>
        <v>8635.2771499771916</v>
      </c>
      <c r="L24" s="15">
        <f t="shared" si="6"/>
        <v>8635.2771499771916</v>
      </c>
    </row>
    <row r="25" spans="1:12" ht="20.25" customHeight="1" thickBot="1" x14ac:dyDescent="0.4">
      <c r="A25" s="24" t="s">
        <v>42</v>
      </c>
      <c r="B25" s="11"/>
      <c r="C25" s="16">
        <f>C22-C24</f>
        <v>-332735.27714997716</v>
      </c>
      <c r="D25" s="16">
        <f t="shared" ref="D25:L25" si="7">D22-D24</f>
        <v>493327.33792193525</v>
      </c>
      <c r="E25" s="16">
        <f t="shared" si="7"/>
        <v>549467.84618337546</v>
      </c>
      <c r="F25" s="16">
        <f t="shared" si="7"/>
        <v>612020.34104679758</v>
      </c>
      <c r="G25" s="16">
        <f t="shared" si="7"/>
        <v>681731.67036601529</v>
      </c>
      <c r="H25" s="16">
        <f t="shared" si="7"/>
        <v>759437.24141322915</v>
      </c>
      <c r="I25" s="16">
        <f t="shared" si="7"/>
        <v>846071.69012253569</v>
      </c>
      <c r="J25" s="16">
        <f t="shared" si="7"/>
        <v>942680.85356622632</v>
      </c>
      <c r="K25" s="16">
        <f t="shared" si="7"/>
        <v>1050435.2067323404</v>
      </c>
      <c r="L25" s="16">
        <f t="shared" si="7"/>
        <v>1170644.9447753264</v>
      </c>
    </row>
    <row r="26" spans="1:12" ht="15" thickTop="1" x14ac:dyDescent="0.35">
      <c r="A26" s="7"/>
    </row>
    <row r="27" spans="1:12" x14ac:dyDescent="0.35">
      <c r="A27" s="7" t="s">
        <v>47</v>
      </c>
      <c r="B27" s="15">
        <f>-'Purch Analysis'!C13</f>
        <v>-1400000</v>
      </c>
      <c r="C27" s="15">
        <f>C22</f>
        <v>-324100</v>
      </c>
      <c r="D27" s="15">
        <f t="shared" ref="D27:L27" si="8">D22</f>
        <v>501962.61507191241</v>
      </c>
      <c r="E27" s="15">
        <f t="shared" si="8"/>
        <v>558103.12333335262</v>
      </c>
      <c r="F27" s="15">
        <f t="shared" si="8"/>
        <v>620655.61819677474</v>
      </c>
      <c r="G27" s="15">
        <f t="shared" si="8"/>
        <v>690366.94751599245</v>
      </c>
      <c r="H27" s="15">
        <f t="shared" si="8"/>
        <v>768072.51856320631</v>
      </c>
      <c r="I27" s="15">
        <f t="shared" si="8"/>
        <v>854706.96727251285</v>
      </c>
      <c r="J27" s="15">
        <f t="shared" si="8"/>
        <v>951316.13071620348</v>
      </c>
      <c r="K27" s="15">
        <f t="shared" si="8"/>
        <v>1059070.4838823176</v>
      </c>
      <c r="L27" s="15">
        <f t="shared" si="8"/>
        <v>1179280.2219253036</v>
      </c>
    </row>
    <row r="29" spans="1:12" ht="15" thickBot="1" x14ac:dyDescent="0.4">
      <c r="A29" s="7" t="s">
        <v>43</v>
      </c>
    </row>
    <row r="30" spans="1:12" x14ac:dyDescent="0.35">
      <c r="A30" s="25" t="s">
        <v>44</v>
      </c>
      <c r="B30" s="32">
        <v>0.08</v>
      </c>
    </row>
    <row r="31" spans="1:12" x14ac:dyDescent="0.35">
      <c r="A31" s="26" t="s">
        <v>256</v>
      </c>
      <c r="B31" s="28">
        <f>NPV(B30,C27:L27)</f>
        <v>4072081.8671766305</v>
      </c>
    </row>
    <row r="32" spans="1:12" x14ac:dyDescent="0.35">
      <c r="A32" s="26" t="s">
        <v>45</v>
      </c>
      <c r="B32" s="28">
        <f>NPV(B30,C27:L27)+B27</f>
        <v>2672081.8671766305</v>
      </c>
    </row>
    <row r="33" spans="1:2" ht="15" thickBot="1" x14ac:dyDescent="0.4">
      <c r="A33" s="27" t="s">
        <v>46</v>
      </c>
      <c r="B33" s="29">
        <f>IRR(B27:L27)</f>
        <v>0.283847540166142</v>
      </c>
    </row>
    <row r="34" spans="1:2" x14ac:dyDescent="0.35">
      <c r="A34" s="7"/>
    </row>
  </sheetData>
  <sheetProtection formatCells="0" formatColumns="0" insertColumns="0" insertRows="0"/>
  <conditionalFormatting sqref="C22:L22">
    <cfRule type="cellIs" dxfId="2" priority="1" operator="greaterThanOrEqual">
      <formula>$B$10</formula>
    </cfRule>
  </conditionalFormatting>
  <printOptions headings="1" gridLines="1"/>
  <pageMargins left="0.2" right="0.2" top="0.5" bottom="0.5" header="0.2" footer="0.2"/>
  <pageSetup scale="85" orientation="landscape" horizontalDpi="200" verticalDpi="200" r:id="rId1"/>
  <headerFooter>
    <oddFooter>&amp;L&amp;10Printed:  &amp;D  &amp;T&amp;CPage &amp;P of &amp;N&amp;R&amp;10&amp;A</oddFooter>
  </headerFooter>
  <ignoredErrors>
    <ignoredError sqref="C13:C15" unlockedFormula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F32"/>
  <sheetViews>
    <sheetView zoomScale="130" zoomScaleNormal="130" workbookViewId="0">
      <selection activeCell="J16" sqref="J16"/>
    </sheetView>
  </sheetViews>
  <sheetFormatPr defaultRowHeight="13" outlineLevelRow="1" x14ac:dyDescent="0.3"/>
  <cols>
    <col min="1" max="2" width="9.1796875" style="99"/>
    <col min="3" max="3" width="10.81640625" style="99" customWidth="1"/>
    <col min="4" max="5" width="9.1796875" style="105"/>
    <col min="6" max="258" width="9.1796875" style="99"/>
    <col min="259" max="259" width="10.81640625" style="99" customWidth="1"/>
    <col min="260" max="514" width="9.1796875" style="99"/>
    <col min="515" max="515" width="10.81640625" style="99" customWidth="1"/>
    <col min="516" max="770" width="9.1796875" style="99"/>
    <col min="771" max="771" width="10.81640625" style="99" customWidth="1"/>
    <col min="772" max="1026" width="9.1796875" style="99"/>
    <col min="1027" max="1027" width="10.81640625" style="99" customWidth="1"/>
    <col min="1028" max="1282" width="9.1796875" style="99"/>
    <col min="1283" max="1283" width="10.81640625" style="99" customWidth="1"/>
    <col min="1284" max="1538" width="9.1796875" style="99"/>
    <col min="1539" max="1539" width="10.81640625" style="99" customWidth="1"/>
    <col min="1540" max="1794" width="9.1796875" style="99"/>
    <col min="1795" max="1795" width="10.81640625" style="99" customWidth="1"/>
    <col min="1796" max="2050" width="9.1796875" style="99"/>
    <col min="2051" max="2051" width="10.81640625" style="99" customWidth="1"/>
    <col min="2052" max="2306" width="9.1796875" style="99"/>
    <col min="2307" max="2307" width="10.81640625" style="99" customWidth="1"/>
    <col min="2308" max="2562" width="9.1796875" style="99"/>
    <col min="2563" max="2563" width="10.81640625" style="99" customWidth="1"/>
    <col min="2564" max="2818" width="9.1796875" style="99"/>
    <col min="2819" max="2819" width="10.81640625" style="99" customWidth="1"/>
    <col min="2820" max="3074" width="9.1796875" style="99"/>
    <col min="3075" max="3075" width="10.81640625" style="99" customWidth="1"/>
    <col min="3076" max="3330" width="9.1796875" style="99"/>
    <col min="3331" max="3331" width="10.81640625" style="99" customWidth="1"/>
    <col min="3332" max="3586" width="9.1796875" style="99"/>
    <col min="3587" max="3587" width="10.81640625" style="99" customWidth="1"/>
    <col min="3588" max="3842" width="9.1796875" style="99"/>
    <col min="3843" max="3843" width="10.81640625" style="99" customWidth="1"/>
    <col min="3844" max="4098" width="9.1796875" style="99"/>
    <col min="4099" max="4099" width="10.81640625" style="99" customWidth="1"/>
    <col min="4100" max="4354" width="9.1796875" style="99"/>
    <col min="4355" max="4355" width="10.81640625" style="99" customWidth="1"/>
    <col min="4356" max="4610" width="9.1796875" style="99"/>
    <col min="4611" max="4611" width="10.81640625" style="99" customWidth="1"/>
    <col min="4612" max="4866" width="9.1796875" style="99"/>
    <col min="4867" max="4867" width="10.81640625" style="99" customWidth="1"/>
    <col min="4868" max="5122" width="9.1796875" style="99"/>
    <col min="5123" max="5123" width="10.81640625" style="99" customWidth="1"/>
    <col min="5124" max="5378" width="9.1796875" style="99"/>
    <col min="5379" max="5379" width="10.81640625" style="99" customWidth="1"/>
    <col min="5380" max="5634" width="9.1796875" style="99"/>
    <col min="5635" max="5635" width="10.81640625" style="99" customWidth="1"/>
    <col min="5636" max="5890" width="9.1796875" style="99"/>
    <col min="5891" max="5891" width="10.81640625" style="99" customWidth="1"/>
    <col min="5892" max="6146" width="9.1796875" style="99"/>
    <col min="6147" max="6147" width="10.81640625" style="99" customWidth="1"/>
    <col min="6148" max="6402" width="9.1796875" style="99"/>
    <col min="6403" max="6403" width="10.81640625" style="99" customWidth="1"/>
    <col min="6404" max="6658" width="9.1796875" style="99"/>
    <col min="6659" max="6659" width="10.81640625" style="99" customWidth="1"/>
    <col min="6660" max="6914" width="9.1796875" style="99"/>
    <col min="6915" max="6915" width="10.81640625" style="99" customWidth="1"/>
    <col min="6916" max="7170" width="9.1796875" style="99"/>
    <col min="7171" max="7171" width="10.81640625" style="99" customWidth="1"/>
    <col min="7172" max="7426" width="9.1796875" style="99"/>
    <col min="7427" max="7427" width="10.81640625" style="99" customWidth="1"/>
    <col min="7428" max="7682" width="9.1796875" style="99"/>
    <col min="7683" max="7683" width="10.81640625" style="99" customWidth="1"/>
    <col min="7684" max="7938" width="9.1796875" style="99"/>
    <col min="7939" max="7939" width="10.81640625" style="99" customWidth="1"/>
    <col min="7940" max="8194" width="9.1796875" style="99"/>
    <col min="8195" max="8195" width="10.81640625" style="99" customWidth="1"/>
    <col min="8196" max="8450" width="9.1796875" style="99"/>
    <col min="8451" max="8451" width="10.81640625" style="99" customWidth="1"/>
    <col min="8452" max="8706" width="9.1796875" style="99"/>
    <col min="8707" max="8707" width="10.81640625" style="99" customWidth="1"/>
    <col min="8708" max="8962" width="9.1796875" style="99"/>
    <col min="8963" max="8963" width="10.81640625" style="99" customWidth="1"/>
    <col min="8964" max="9218" width="9.1796875" style="99"/>
    <col min="9219" max="9219" width="10.81640625" style="99" customWidth="1"/>
    <col min="9220" max="9474" width="9.1796875" style="99"/>
    <col min="9475" max="9475" width="10.81640625" style="99" customWidth="1"/>
    <col min="9476" max="9730" width="9.1796875" style="99"/>
    <col min="9731" max="9731" width="10.81640625" style="99" customWidth="1"/>
    <col min="9732" max="9986" width="9.1796875" style="99"/>
    <col min="9987" max="9987" width="10.81640625" style="99" customWidth="1"/>
    <col min="9988" max="10242" width="9.1796875" style="99"/>
    <col min="10243" max="10243" width="10.81640625" style="99" customWidth="1"/>
    <col min="10244" max="10498" width="9.1796875" style="99"/>
    <col min="10499" max="10499" width="10.81640625" style="99" customWidth="1"/>
    <col min="10500" max="10754" width="9.1796875" style="99"/>
    <col min="10755" max="10755" width="10.81640625" style="99" customWidth="1"/>
    <col min="10756" max="11010" width="9.1796875" style="99"/>
    <col min="11011" max="11011" width="10.81640625" style="99" customWidth="1"/>
    <col min="11012" max="11266" width="9.1796875" style="99"/>
    <col min="11267" max="11267" width="10.81640625" style="99" customWidth="1"/>
    <col min="11268" max="11522" width="9.1796875" style="99"/>
    <col min="11523" max="11523" width="10.81640625" style="99" customWidth="1"/>
    <col min="11524" max="11778" width="9.1796875" style="99"/>
    <col min="11779" max="11779" width="10.81640625" style="99" customWidth="1"/>
    <col min="11780" max="12034" width="9.1796875" style="99"/>
    <col min="12035" max="12035" width="10.81640625" style="99" customWidth="1"/>
    <col min="12036" max="12290" width="9.1796875" style="99"/>
    <col min="12291" max="12291" width="10.81640625" style="99" customWidth="1"/>
    <col min="12292" max="12546" width="9.1796875" style="99"/>
    <col min="12547" max="12547" width="10.81640625" style="99" customWidth="1"/>
    <col min="12548" max="12802" width="9.1796875" style="99"/>
    <col min="12803" max="12803" width="10.81640625" style="99" customWidth="1"/>
    <col min="12804" max="13058" width="9.1796875" style="99"/>
    <col min="13059" max="13059" width="10.81640625" style="99" customWidth="1"/>
    <col min="13060" max="13314" width="9.1796875" style="99"/>
    <col min="13315" max="13315" width="10.81640625" style="99" customWidth="1"/>
    <col min="13316" max="13570" width="9.1796875" style="99"/>
    <col min="13571" max="13571" width="10.81640625" style="99" customWidth="1"/>
    <col min="13572" max="13826" width="9.1796875" style="99"/>
    <col min="13827" max="13827" width="10.81640625" style="99" customWidth="1"/>
    <col min="13828" max="14082" width="9.1796875" style="99"/>
    <col min="14083" max="14083" width="10.81640625" style="99" customWidth="1"/>
    <col min="14084" max="14338" width="9.1796875" style="99"/>
    <col min="14339" max="14339" width="10.81640625" style="99" customWidth="1"/>
    <col min="14340" max="14594" width="9.1796875" style="99"/>
    <col min="14595" max="14595" width="10.81640625" style="99" customWidth="1"/>
    <col min="14596" max="14850" width="9.1796875" style="99"/>
    <col min="14851" max="14851" width="10.81640625" style="99" customWidth="1"/>
    <col min="14852" max="15106" width="9.1796875" style="99"/>
    <col min="15107" max="15107" width="10.81640625" style="99" customWidth="1"/>
    <col min="15108" max="15362" width="9.1796875" style="99"/>
    <col min="15363" max="15363" width="10.81640625" style="99" customWidth="1"/>
    <col min="15364" max="15618" width="9.1796875" style="99"/>
    <col min="15619" max="15619" width="10.81640625" style="99" customWidth="1"/>
    <col min="15620" max="15874" width="9.1796875" style="99"/>
    <col min="15875" max="15875" width="10.81640625" style="99" customWidth="1"/>
    <col min="15876" max="16130" width="9.1796875" style="99"/>
    <col min="16131" max="16131" width="10.81640625" style="99" customWidth="1"/>
    <col min="16132" max="16384" width="9.1796875" style="99"/>
  </cols>
  <sheetData>
    <row r="1" spans="1:5" ht="18.5" x14ac:dyDescent="0.45">
      <c r="A1" s="112" t="str">
        <f>CoName</f>
        <v>Carey Transportation, Inc.</v>
      </c>
      <c r="B1" s="112"/>
      <c r="C1" s="98"/>
      <c r="D1" s="98"/>
      <c r="E1" s="98"/>
    </row>
    <row r="2" spans="1:5" ht="15.5" x14ac:dyDescent="0.35">
      <c r="A2" s="113" t="s">
        <v>66</v>
      </c>
      <c r="B2" s="114"/>
      <c r="C2" s="98"/>
      <c r="D2" s="98"/>
      <c r="E2" s="98"/>
    </row>
    <row r="4" spans="1:5" ht="14.5" x14ac:dyDescent="0.35">
      <c r="A4" s="115" t="s">
        <v>67</v>
      </c>
      <c r="D4" s="116"/>
      <c r="E4" s="105" t="s">
        <v>68</v>
      </c>
    </row>
    <row r="5" spans="1:5" ht="14.5" outlineLevel="1" x14ac:dyDescent="0.45">
      <c r="B5" s="117" t="str">
        <f>B19</f>
        <v># Pax</v>
      </c>
      <c r="C5" s="117" t="str">
        <f>C19</f>
        <v>Mileage</v>
      </c>
      <c r="D5" s="117" t="str">
        <f>D19</f>
        <v>Cost</v>
      </c>
    </row>
    <row r="6" spans="1:5" outlineLevel="1" x14ac:dyDescent="0.3">
      <c r="A6" s="99" t="s">
        <v>16</v>
      </c>
      <c r="B6" s="118"/>
      <c r="C6" s="118"/>
      <c r="D6" s="118"/>
    </row>
    <row r="7" spans="1:5" outlineLevel="1" x14ac:dyDescent="0.3">
      <c r="A7" s="99" t="s">
        <v>69</v>
      </c>
      <c r="B7" s="118">
        <f>AVERAGE(B20:B31)</f>
        <v>12.181818181818182</v>
      </c>
      <c r="C7" s="118">
        <f t="shared" ref="C7" si="0">AVERAGE(C20:C31)</f>
        <v>54568.181818181816</v>
      </c>
      <c r="D7" s="118">
        <f>AVERAGEA(D20:D31)</f>
        <v>20545.454545454544</v>
      </c>
    </row>
    <row r="8" spans="1:5" outlineLevel="1" x14ac:dyDescent="0.3">
      <c r="A8" s="99" t="s">
        <v>70</v>
      </c>
      <c r="B8" s="118">
        <f>MAX(B20:B31)</f>
        <v>16</v>
      </c>
      <c r="C8" s="118">
        <f t="shared" ref="C8:D8" si="1">MAX(C20:C31)</f>
        <v>225000</v>
      </c>
      <c r="D8" s="118">
        <f t="shared" si="1"/>
        <v>30000</v>
      </c>
    </row>
    <row r="9" spans="1:5" outlineLevel="1" x14ac:dyDescent="0.3">
      <c r="A9" s="99" t="s">
        <v>71</v>
      </c>
      <c r="B9" s="118">
        <f>MIN(B20:B31)</f>
        <v>6</v>
      </c>
      <c r="C9" s="118">
        <f t="shared" ref="C9:D9" si="2">MIN(C20:C31)</f>
        <v>250</v>
      </c>
      <c r="D9" s="118">
        <f t="shared" si="2"/>
        <v>8000</v>
      </c>
    </row>
    <row r="10" spans="1:5" outlineLevel="1" x14ac:dyDescent="0.3">
      <c r="A10" s="99" t="s">
        <v>72</v>
      </c>
      <c r="B10" s="118"/>
      <c r="C10" s="118"/>
      <c r="D10" s="118"/>
    </row>
    <row r="12" spans="1:5" ht="14.5" x14ac:dyDescent="0.35">
      <c r="A12" s="115" t="s">
        <v>73</v>
      </c>
    </row>
    <row r="13" spans="1:5" outlineLevel="1" x14ac:dyDescent="0.3">
      <c r="B13" s="119" t="s">
        <v>74</v>
      </c>
      <c r="C13" s="119" t="s">
        <v>53</v>
      </c>
      <c r="D13" s="120" t="s">
        <v>75</v>
      </c>
    </row>
    <row r="14" spans="1:5" outlineLevel="1" x14ac:dyDescent="0.3">
      <c r="A14" s="99" t="s">
        <v>76</v>
      </c>
      <c r="B14" s="118">
        <f>COUNTIF($A$20:$A$31,A14)</f>
        <v>5</v>
      </c>
      <c r="C14" s="118">
        <f>SUMIF($A$20:$A$31,A14,$B$20:$B$31)</f>
        <v>68</v>
      </c>
      <c r="D14" s="118">
        <f>SUMIF($A$20:$A$31,A14,$D$20:$D$31)</f>
        <v>115000</v>
      </c>
    </row>
    <row r="15" spans="1:5" outlineLevel="1" x14ac:dyDescent="0.3">
      <c r="A15" s="99" t="s">
        <v>77</v>
      </c>
      <c r="B15" s="118">
        <f t="shared" ref="B15:B16" si="3">COUNTIF($A$20:$A$31,A15)</f>
        <v>4</v>
      </c>
      <c r="C15" s="118">
        <f t="shared" ref="C15:C16" si="4">SUMIF($A$20:$A$31,A15,$B$20:$B$31)</f>
        <v>48</v>
      </c>
      <c r="D15" s="118">
        <f t="shared" ref="D15:D16" si="5">SUMIF($A$20:$A$31,A15,$D$20:$D$31)</f>
        <v>76000</v>
      </c>
    </row>
    <row r="16" spans="1:5" outlineLevel="1" x14ac:dyDescent="0.3">
      <c r="A16" s="99" t="s">
        <v>78</v>
      </c>
      <c r="B16" s="118">
        <f t="shared" si="3"/>
        <v>2</v>
      </c>
      <c r="C16" s="118">
        <f t="shared" si="4"/>
        <v>18</v>
      </c>
      <c r="D16" s="118">
        <f t="shared" si="5"/>
        <v>35000</v>
      </c>
    </row>
    <row r="18" spans="1:6" ht="14.5" x14ac:dyDescent="0.35">
      <c r="A18" s="115" t="s">
        <v>79</v>
      </c>
    </row>
    <row r="19" spans="1:6" outlineLevel="1" x14ac:dyDescent="0.3">
      <c r="A19" s="119" t="s">
        <v>80</v>
      </c>
      <c r="B19" s="119" t="s">
        <v>53</v>
      </c>
      <c r="C19" s="120" t="s">
        <v>81</v>
      </c>
      <c r="D19" s="120" t="s">
        <v>82</v>
      </c>
      <c r="E19" s="120" t="s">
        <v>265</v>
      </c>
      <c r="F19" s="120" t="s">
        <v>266</v>
      </c>
    </row>
    <row r="20" spans="1:6" outlineLevel="1" x14ac:dyDescent="0.3">
      <c r="A20" s="99" t="s">
        <v>77</v>
      </c>
      <c r="B20" s="99">
        <v>14</v>
      </c>
      <c r="C20" s="105">
        <v>55000</v>
      </c>
      <c r="D20" s="105">
        <v>20000</v>
      </c>
      <c r="E20" s="105">
        <v>12000</v>
      </c>
      <c r="F20" s="205">
        <f>IFERROR(E20/$E$32,0)</f>
        <v>6.6115702479338845E-2</v>
      </c>
    </row>
    <row r="21" spans="1:6" outlineLevel="1" x14ac:dyDescent="0.3">
      <c r="A21" s="99" t="s">
        <v>76</v>
      </c>
      <c r="B21" s="99">
        <v>14</v>
      </c>
      <c r="C21" s="105">
        <v>250</v>
      </c>
      <c r="D21" s="105">
        <v>30000</v>
      </c>
      <c r="E21" s="105">
        <v>24000</v>
      </c>
      <c r="F21" s="205">
        <f t="shared" ref="F21:F30" si="6">IFERROR(E21/$E$32,0)</f>
        <v>0.13223140495867769</v>
      </c>
    </row>
    <row r="22" spans="1:6" outlineLevel="1" x14ac:dyDescent="0.3">
      <c r="A22" s="99" t="s">
        <v>78</v>
      </c>
      <c r="B22" s="99">
        <v>6</v>
      </c>
      <c r="C22" s="105">
        <v>25000</v>
      </c>
      <c r="D22" s="105">
        <v>20000</v>
      </c>
      <c r="E22" s="105">
        <v>15000</v>
      </c>
      <c r="F22" s="205">
        <f t="shared" si="6"/>
        <v>8.2644628099173556E-2</v>
      </c>
    </row>
    <row r="23" spans="1:6" outlineLevel="1" x14ac:dyDescent="0.3">
      <c r="A23" s="99" t="s">
        <v>77</v>
      </c>
      <c r="B23" s="99">
        <v>6</v>
      </c>
      <c r="C23" s="105">
        <v>5000</v>
      </c>
      <c r="D23" s="105">
        <v>15000</v>
      </c>
      <c r="E23" s="105">
        <v>12500</v>
      </c>
      <c r="F23" s="205">
        <f t="shared" si="6"/>
        <v>6.8870523415977963E-2</v>
      </c>
    </row>
    <row r="24" spans="1:6" outlineLevel="1" x14ac:dyDescent="0.3">
      <c r="A24" s="99" t="s">
        <v>76</v>
      </c>
      <c r="B24" s="99">
        <v>8</v>
      </c>
      <c r="C24" s="105">
        <v>225000</v>
      </c>
      <c r="D24" s="105">
        <v>8000</v>
      </c>
      <c r="E24" s="105">
        <v>6500</v>
      </c>
      <c r="F24" s="205">
        <f t="shared" si="6"/>
        <v>3.5812672176308541E-2</v>
      </c>
    </row>
    <row r="25" spans="1:6" outlineLevel="1" x14ac:dyDescent="0.3">
      <c r="A25" s="99" t="s">
        <v>78</v>
      </c>
      <c r="B25" s="99">
        <v>12</v>
      </c>
      <c r="C25" s="105">
        <v>99000</v>
      </c>
      <c r="D25" s="105">
        <v>15000</v>
      </c>
      <c r="E25" s="105">
        <v>14000</v>
      </c>
      <c r="F25" s="205">
        <f t="shared" si="6"/>
        <v>7.7134986225895319E-2</v>
      </c>
    </row>
    <row r="26" spans="1:6" outlineLevel="1" x14ac:dyDescent="0.3">
      <c r="A26" s="99" t="s">
        <v>77</v>
      </c>
      <c r="B26" s="99">
        <v>14</v>
      </c>
      <c r="C26" s="105">
        <v>125000</v>
      </c>
      <c r="D26" s="105">
        <v>20000</v>
      </c>
      <c r="E26" s="105">
        <v>17500</v>
      </c>
      <c r="F26" s="205">
        <f t="shared" si="6"/>
        <v>9.6418732782369149E-2</v>
      </c>
    </row>
    <row r="27" spans="1:6" outlineLevel="1" x14ac:dyDescent="0.3">
      <c r="A27" s="99" t="s">
        <v>76</v>
      </c>
      <c r="B27" s="99">
        <v>14</v>
      </c>
      <c r="C27" s="105">
        <v>30000</v>
      </c>
      <c r="D27" s="105">
        <v>25000</v>
      </c>
      <c r="E27" s="105">
        <v>21000</v>
      </c>
      <c r="F27" s="205">
        <f t="shared" si="6"/>
        <v>0.11570247933884298</v>
      </c>
    </row>
    <row r="28" spans="1:6" outlineLevel="1" x14ac:dyDescent="0.3">
      <c r="A28" s="99" t="s">
        <v>76</v>
      </c>
      <c r="B28" s="99">
        <v>16</v>
      </c>
      <c r="C28" s="105">
        <v>15500</v>
      </c>
      <c r="D28" s="105">
        <v>24000</v>
      </c>
      <c r="E28" s="105">
        <v>22000</v>
      </c>
      <c r="F28" s="205">
        <f t="shared" si="6"/>
        <v>0.12121212121212122</v>
      </c>
    </row>
    <row r="29" spans="1:6" outlineLevel="1" x14ac:dyDescent="0.3">
      <c r="A29" s="99" t="s">
        <v>76</v>
      </c>
      <c r="B29" s="99">
        <v>16</v>
      </c>
      <c r="C29" s="105">
        <v>8500</v>
      </c>
      <c r="D29" s="105">
        <v>28000</v>
      </c>
      <c r="E29" s="105">
        <v>18000</v>
      </c>
      <c r="F29" s="205">
        <f t="shared" si="6"/>
        <v>9.9173553719008267E-2</v>
      </c>
    </row>
    <row r="30" spans="1:6" outlineLevel="1" x14ac:dyDescent="0.3">
      <c r="A30" s="99" t="s">
        <v>77</v>
      </c>
      <c r="B30" s="99">
        <v>14</v>
      </c>
      <c r="C30" s="105">
        <v>12000</v>
      </c>
      <c r="D30" s="105">
        <v>21000</v>
      </c>
      <c r="E30" s="105">
        <v>19000</v>
      </c>
      <c r="F30" s="205">
        <f t="shared" si="6"/>
        <v>0.1046831955922865</v>
      </c>
    </row>
    <row r="31" spans="1:6" ht="6" customHeight="1" outlineLevel="1" x14ac:dyDescent="0.3">
      <c r="A31" s="121"/>
      <c r="B31" s="121"/>
      <c r="C31" s="122"/>
      <c r="D31" s="122"/>
    </row>
    <row r="32" spans="1:6" x14ac:dyDescent="0.3">
      <c r="C32" s="153"/>
      <c r="D32" s="154" t="s">
        <v>267</v>
      </c>
      <c r="E32" s="155">
        <f>SUM(E20:E31)</f>
        <v>181500</v>
      </c>
      <c r="F32" s="167">
        <f>SUM(F20:F31)</f>
        <v>1</v>
      </c>
    </row>
  </sheetData>
  <printOptions headings="1" gridLines="1"/>
  <pageMargins left="0.2" right="0.2" top="0.5" bottom="0.5" header="0.2" footer="0.2"/>
  <pageSetup orientation="landscape" r:id="rId1"/>
  <headerFooter>
    <oddFooter>&amp;L&amp;10Printed:  &amp;D  &amp;T&amp;CPage &amp;P of &amp;N&amp;R&amp;10&amp;A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F088C-EE52-4E49-AA7B-9917AD71BD6F}">
  <sheetPr codeName="Sheet13"/>
  <dimension ref="A1:K41"/>
  <sheetViews>
    <sheetView zoomScale="130" zoomScaleNormal="130" workbookViewId="0">
      <selection activeCell="C10" sqref="C10"/>
    </sheetView>
  </sheetViews>
  <sheetFormatPr defaultRowHeight="13" outlineLevelRow="1" x14ac:dyDescent="0.3"/>
  <cols>
    <col min="1" max="1" width="13.54296875" style="99" customWidth="1"/>
    <col min="2" max="7" width="11.7265625" style="99" customWidth="1"/>
    <col min="8" max="11" width="9.26953125" style="99" bestFit="1" customWidth="1"/>
    <col min="12" max="256" width="8.81640625" style="99"/>
    <col min="257" max="257" width="13.54296875" style="99" customWidth="1"/>
    <col min="258" max="263" width="11.7265625" style="99" customWidth="1"/>
    <col min="264" max="267" width="9.26953125" style="99" bestFit="1" customWidth="1"/>
    <col min="268" max="512" width="8.81640625" style="99"/>
    <col min="513" max="513" width="13.54296875" style="99" customWidth="1"/>
    <col min="514" max="519" width="11.7265625" style="99" customWidth="1"/>
    <col min="520" max="523" width="9.26953125" style="99" bestFit="1" customWidth="1"/>
    <col min="524" max="768" width="8.81640625" style="99"/>
    <col min="769" max="769" width="13.54296875" style="99" customWidth="1"/>
    <col min="770" max="775" width="11.7265625" style="99" customWidth="1"/>
    <col min="776" max="779" width="9.26953125" style="99" bestFit="1" customWidth="1"/>
    <col min="780" max="1024" width="8.81640625" style="99"/>
    <col min="1025" max="1025" width="13.54296875" style="99" customWidth="1"/>
    <col min="1026" max="1031" width="11.7265625" style="99" customWidth="1"/>
    <col min="1032" max="1035" width="9.26953125" style="99" bestFit="1" customWidth="1"/>
    <col min="1036" max="1280" width="8.81640625" style="99"/>
    <col min="1281" max="1281" width="13.54296875" style="99" customWidth="1"/>
    <col min="1282" max="1287" width="11.7265625" style="99" customWidth="1"/>
    <col min="1288" max="1291" width="9.26953125" style="99" bestFit="1" customWidth="1"/>
    <col min="1292" max="1536" width="8.81640625" style="99"/>
    <col min="1537" max="1537" width="13.54296875" style="99" customWidth="1"/>
    <col min="1538" max="1543" width="11.7265625" style="99" customWidth="1"/>
    <col min="1544" max="1547" width="9.26953125" style="99" bestFit="1" customWidth="1"/>
    <col min="1548" max="1792" width="8.81640625" style="99"/>
    <col min="1793" max="1793" width="13.54296875" style="99" customWidth="1"/>
    <col min="1794" max="1799" width="11.7265625" style="99" customWidth="1"/>
    <col min="1800" max="1803" width="9.26953125" style="99" bestFit="1" customWidth="1"/>
    <col min="1804" max="2048" width="8.81640625" style="99"/>
    <col min="2049" max="2049" width="13.54296875" style="99" customWidth="1"/>
    <col min="2050" max="2055" width="11.7265625" style="99" customWidth="1"/>
    <col min="2056" max="2059" width="9.26953125" style="99" bestFit="1" customWidth="1"/>
    <col min="2060" max="2304" width="8.81640625" style="99"/>
    <col min="2305" max="2305" width="13.54296875" style="99" customWidth="1"/>
    <col min="2306" max="2311" width="11.7265625" style="99" customWidth="1"/>
    <col min="2312" max="2315" width="9.26953125" style="99" bestFit="1" customWidth="1"/>
    <col min="2316" max="2560" width="8.81640625" style="99"/>
    <col min="2561" max="2561" width="13.54296875" style="99" customWidth="1"/>
    <col min="2562" max="2567" width="11.7265625" style="99" customWidth="1"/>
    <col min="2568" max="2571" width="9.26953125" style="99" bestFit="1" customWidth="1"/>
    <col min="2572" max="2816" width="8.81640625" style="99"/>
    <col min="2817" max="2817" width="13.54296875" style="99" customWidth="1"/>
    <col min="2818" max="2823" width="11.7265625" style="99" customWidth="1"/>
    <col min="2824" max="2827" width="9.26953125" style="99" bestFit="1" customWidth="1"/>
    <col min="2828" max="3072" width="8.81640625" style="99"/>
    <col min="3073" max="3073" width="13.54296875" style="99" customWidth="1"/>
    <col min="3074" max="3079" width="11.7265625" style="99" customWidth="1"/>
    <col min="3080" max="3083" width="9.26953125" style="99" bestFit="1" customWidth="1"/>
    <col min="3084" max="3328" width="8.81640625" style="99"/>
    <col min="3329" max="3329" width="13.54296875" style="99" customWidth="1"/>
    <col min="3330" max="3335" width="11.7265625" style="99" customWidth="1"/>
    <col min="3336" max="3339" width="9.26953125" style="99" bestFit="1" customWidth="1"/>
    <col min="3340" max="3584" width="8.81640625" style="99"/>
    <col min="3585" max="3585" width="13.54296875" style="99" customWidth="1"/>
    <col min="3586" max="3591" width="11.7265625" style="99" customWidth="1"/>
    <col min="3592" max="3595" width="9.26953125" style="99" bestFit="1" customWidth="1"/>
    <col min="3596" max="3840" width="8.81640625" style="99"/>
    <col min="3841" max="3841" width="13.54296875" style="99" customWidth="1"/>
    <col min="3842" max="3847" width="11.7265625" style="99" customWidth="1"/>
    <col min="3848" max="3851" width="9.26953125" style="99" bestFit="1" customWidth="1"/>
    <col min="3852" max="4096" width="8.81640625" style="99"/>
    <col min="4097" max="4097" width="13.54296875" style="99" customWidth="1"/>
    <col min="4098" max="4103" width="11.7265625" style="99" customWidth="1"/>
    <col min="4104" max="4107" width="9.26953125" style="99" bestFit="1" customWidth="1"/>
    <col min="4108" max="4352" width="8.81640625" style="99"/>
    <col min="4353" max="4353" width="13.54296875" style="99" customWidth="1"/>
    <col min="4354" max="4359" width="11.7265625" style="99" customWidth="1"/>
    <col min="4360" max="4363" width="9.26953125" style="99" bestFit="1" customWidth="1"/>
    <col min="4364" max="4608" width="8.81640625" style="99"/>
    <col min="4609" max="4609" width="13.54296875" style="99" customWidth="1"/>
    <col min="4610" max="4615" width="11.7265625" style="99" customWidth="1"/>
    <col min="4616" max="4619" width="9.26953125" style="99" bestFit="1" customWidth="1"/>
    <col min="4620" max="4864" width="8.81640625" style="99"/>
    <col min="4865" max="4865" width="13.54296875" style="99" customWidth="1"/>
    <col min="4866" max="4871" width="11.7265625" style="99" customWidth="1"/>
    <col min="4872" max="4875" width="9.26953125" style="99" bestFit="1" customWidth="1"/>
    <col min="4876" max="5120" width="8.81640625" style="99"/>
    <col min="5121" max="5121" width="13.54296875" style="99" customWidth="1"/>
    <col min="5122" max="5127" width="11.7265625" style="99" customWidth="1"/>
    <col min="5128" max="5131" width="9.26953125" style="99" bestFit="1" customWidth="1"/>
    <col min="5132" max="5376" width="8.81640625" style="99"/>
    <col min="5377" max="5377" width="13.54296875" style="99" customWidth="1"/>
    <col min="5378" max="5383" width="11.7265625" style="99" customWidth="1"/>
    <col min="5384" max="5387" width="9.26953125" style="99" bestFit="1" customWidth="1"/>
    <col min="5388" max="5632" width="8.81640625" style="99"/>
    <col min="5633" max="5633" width="13.54296875" style="99" customWidth="1"/>
    <col min="5634" max="5639" width="11.7265625" style="99" customWidth="1"/>
    <col min="5640" max="5643" width="9.26953125" style="99" bestFit="1" customWidth="1"/>
    <col min="5644" max="5888" width="8.81640625" style="99"/>
    <col min="5889" max="5889" width="13.54296875" style="99" customWidth="1"/>
    <col min="5890" max="5895" width="11.7265625" style="99" customWidth="1"/>
    <col min="5896" max="5899" width="9.26953125" style="99" bestFit="1" customWidth="1"/>
    <col min="5900" max="6144" width="8.81640625" style="99"/>
    <col min="6145" max="6145" width="13.54296875" style="99" customWidth="1"/>
    <col min="6146" max="6151" width="11.7265625" style="99" customWidth="1"/>
    <col min="6152" max="6155" width="9.26953125" style="99" bestFit="1" customWidth="1"/>
    <col min="6156" max="6400" width="8.81640625" style="99"/>
    <col min="6401" max="6401" width="13.54296875" style="99" customWidth="1"/>
    <col min="6402" max="6407" width="11.7265625" style="99" customWidth="1"/>
    <col min="6408" max="6411" width="9.26953125" style="99" bestFit="1" customWidth="1"/>
    <col min="6412" max="6656" width="8.81640625" style="99"/>
    <col min="6657" max="6657" width="13.54296875" style="99" customWidth="1"/>
    <col min="6658" max="6663" width="11.7265625" style="99" customWidth="1"/>
    <col min="6664" max="6667" width="9.26953125" style="99" bestFit="1" customWidth="1"/>
    <col min="6668" max="6912" width="8.81640625" style="99"/>
    <col min="6913" max="6913" width="13.54296875" style="99" customWidth="1"/>
    <col min="6914" max="6919" width="11.7265625" style="99" customWidth="1"/>
    <col min="6920" max="6923" width="9.26953125" style="99" bestFit="1" customWidth="1"/>
    <col min="6924" max="7168" width="8.81640625" style="99"/>
    <col min="7169" max="7169" width="13.54296875" style="99" customWidth="1"/>
    <col min="7170" max="7175" width="11.7265625" style="99" customWidth="1"/>
    <col min="7176" max="7179" width="9.26953125" style="99" bestFit="1" customWidth="1"/>
    <col min="7180" max="7424" width="8.81640625" style="99"/>
    <col min="7425" max="7425" width="13.54296875" style="99" customWidth="1"/>
    <col min="7426" max="7431" width="11.7265625" style="99" customWidth="1"/>
    <col min="7432" max="7435" width="9.26953125" style="99" bestFit="1" customWidth="1"/>
    <col min="7436" max="7680" width="8.81640625" style="99"/>
    <col min="7681" max="7681" width="13.54296875" style="99" customWidth="1"/>
    <col min="7682" max="7687" width="11.7265625" style="99" customWidth="1"/>
    <col min="7688" max="7691" width="9.26953125" style="99" bestFit="1" customWidth="1"/>
    <col min="7692" max="7936" width="8.81640625" style="99"/>
    <col min="7937" max="7937" width="13.54296875" style="99" customWidth="1"/>
    <col min="7938" max="7943" width="11.7265625" style="99" customWidth="1"/>
    <col min="7944" max="7947" width="9.26953125" style="99" bestFit="1" customWidth="1"/>
    <col min="7948" max="8192" width="8.81640625" style="99"/>
    <col min="8193" max="8193" width="13.54296875" style="99" customWidth="1"/>
    <col min="8194" max="8199" width="11.7265625" style="99" customWidth="1"/>
    <col min="8200" max="8203" width="9.26953125" style="99" bestFit="1" customWidth="1"/>
    <col min="8204" max="8448" width="8.81640625" style="99"/>
    <col min="8449" max="8449" width="13.54296875" style="99" customWidth="1"/>
    <col min="8450" max="8455" width="11.7265625" style="99" customWidth="1"/>
    <col min="8456" max="8459" width="9.26953125" style="99" bestFit="1" customWidth="1"/>
    <col min="8460" max="8704" width="8.81640625" style="99"/>
    <col min="8705" max="8705" width="13.54296875" style="99" customWidth="1"/>
    <col min="8706" max="8711" width="11.7265625" style="99" customWidth="1"/>
    <col min="8712" max="8715" width="9.26953125" style="99" bestFit="1" customWidth="1"/>
    <col min="8716" max="8960" width="8.81640625" style="99"/>
    <col min="8961" max="8961" width="13.54296875" style="99" customWidth="1"/>
    <col min="8962" max="8967" width="11.7265625" style="99" customWidth="1"/>
    <col min="8968" max="8971" width="9.26953125" style="99" bestFit="1" customWidth="1"/>
    <col min="8972" max="9216" width="8.81640625" style="99"/>
    <col min="9217" max="9217" width="13.54296875" style="99" customWidth="1"/>
    <col min="9218" max="9223" width="11.7265625" style="99" customWidth="1"/>
    <col min="9224" max="9227" width="9.26953125" style="99" bestFit="1" customWidth="1"/>
    <col min="9228" max="9472" width="8.81640625" style="99"/>
    <col min="9473" max="9473" width="13.54296875" style="99" customWidth="1"/>
    <col min="9474" max="9479" width="11.7265625" style="99" customWidth="1"/>
    <col min="9480" max="9483" width="9.26953125" style="99" bestFit="1" customWidth="1"/>
    <col min="9484" max="9728" width="8.81640625" style="99"/>
    <col min="9729" max="9729" width="13.54296875" style="99" customWidth="1"/>
    <col min="9730" max="9735" width="11.7265625" style="99" customWidth="1"/>
    <col min="9736" max="9739" width="9.26953125" style="99" bestFit="1" customWidth="1"/>
    <col min="9740" max="9984" width="8.81640625" style="99"/>
    <col min="9985" max="9985" width="13.54296875" style="99" customWidth="1"/>
    <col min="9986" max="9991" width="11.7265625" style="99" customWidth="1"/>
    <col min="9992" max="9995" width="9.26953125" style="99" bestFit="1" customWidth="1"/>
    <col min="9996" max="10240" width="8.81640625" style="99"/>
    <col min="10241" max="10241" width="13.54296875" style="99" customWidth="1"/>
    <col min="10242" max="10247" width="11.7265625" style="99" customWidth="1"/>
    <col min="10248" max="10251" width="9.26953125" style="99" bestFit="1" customWidth="1"/>
    <col min="10252" max="10496" width="8.81640625" style="99"/>
    <col min="10497" max="10497" width="13.54296875" style="99" customWidth="1"/>
    <col min="10498" max="10503" width="11.7265625" style="99" customWidth="1"/>
    <col min="10504" max="10507" width="9.26953125" style="99" bestFit="1" customWidth="1"/>
    <col min="10508" max="10752" width="8.81640625" style="99"/>
    <col min="10753" max="10753" width="13.54296875" style="99" customWidth="1"/>
    <col min="10754" max="10759" width="11.7265625" style="99" customWidth="1"/>
    <col min="10760" max="10763" width="9.26953125" style="99" bestFit="1" customWidth="1"/>
    <col min="10764" max="11008" width="8.81640625" style="99"/>
    <col min="11009" max="11009" width="13.54296875" style="99" customWidth="1"/>
    <col min="11010" max="11015" width="11.7265625" style="99" customWidth="1"/>
    <col min="11016" max="11019" width="9.26953125" style="99" bestFit="1" customWidth="1"/>
    <col min="11020" max="11264" width="8.81640625" style="99"/>
    <col min="11265" max="11265" width="13.54296875" style="99" customWidth="1"/>
    <col min="11266" max="11271" width="11.7265625" style="99" customWidth="1"/>
    <col min="11272" max="11275" width="9.26953125" style="99" bestFit="1" customWidth="1"/>
    <col min="11276" max="11520" width="8.81640625" style="99"/>
    <col min="11521" max="11521" width="13.54296875" style="99" customWidth="1"/>
    <col min="11522" max="11527" width="11.7265625" style="99" customWidth="1"/>
    <col min="11528" max="11531" width="9.26953125" style="99" bestFit="1" customWidth="1"/>
    <col min="11532" max="11776" width="8.81640625" style="99"/>
    <col min="11777" max="11777" width="13.54296875" style="99" customWidth="1"/>
    <col min="11778" max="11783" width="11.7265625" style="99" customWidth="1"/>
    <col min="11784" max="11787" width="9.26953125" style="99" bestFit="1" customWidth="1"/>
    <col min="11788" max="12032" width="8.81640625" style="99"/>
    <col min="12033" max="12033" width="13.54296875" style="99" customWidth="1"/>
    <col min="12034" max="12039" width="11.7265625" style="99" customWidth="1"/>
    <col min="12040" max="12043" width="9.26953125" style="99" bestFit="1" customWidth="1"/>
    <col min="12044" max="12288" width="8.81640625" style="99"/>
    <col min="12289" max="12289" width="13.54296875" style="99" customWidth="1"/>
    <col min="12290" max="12295" width="11.7265625" style="99" customWidth="1"/>
    <col min="12296" max="12299" width="9.26953125" style="99" bestFit="1" customWidth="1"/>
    <col min="12300" max="12544" width="8.81640625" style="99"/>
    <col min="12545" max="12545" width="13.54296875" style="99" customWidth="1"/>
    <col min="12546" max="12551" width="11.7265625" style="99" customWidth="1"/>
    <col min="12552" max="12555" width="9.26953125" style="99" bestFit="1" customWidth="1"/>
    <col min="12556" max="12800" width="8.81640625" style="99"/>
    <col min="12801" max="12801" width="13.54296875" style="99" customWidth="1"/>
    <col min="12802" max="12807" width="11.7265625" style="99" customWidth="1"/>
    <col min="12808" max="12811" width="9.26953125" style="99" bestFit="1" customWidth="1"/>
    <col min="12812" max="13056" width="8.81640625" style="99"/>
    <col min="13057" max="13057" width="13.54296875" style="99" customWidth="1"/>
    <col min="13058" max="13063" width="11.7265625" style="99" customWidth="1"/>
    <col min="13064" max="13067" width="9.26953125" style="99" bestFit="1" customWidth="1"/>
    <col min="13068" max="13312" width="8.81640625" style="99"/>
    <col min="13313" max="13313" width="13.54296875" style="99" customWidth="1"/>
    <col min="13314" max="13319" width="11.7265625" style="99" customWidth="1"/>
    <col min="13320" max="13323" width="9.26953125" style="99" bestFit="1" customWidth="1"/>
    <col min="13324" max="13568" width="8.81640625" style="99"/>
    <col min="13569" max="13569" width="13.54296875" style="99" customWidth="1"/>
    <col min="13570" max="13575" width="11.7265625" style="99" customWidth="1"/>
    <col min="13576" max="13579" width="9.26953125" style="99" bestFit="1" customWidth="1"/>
    <col min="13580" max="13824" width="8.81640625" style="99"/>
    <col min="13825" max="13825" width="13.54296875" style="99" customWidth="1"/>
    <col min="13826" max="13831" width="11.7265625" style="99" customWidth="1"/>
    <col min="13832" max="13835" width="9.26953125" style="99" bestFit="1" customWidth="1"/>
    <col min="13836" max="14080" width="8.81640625" style="99"/>
    <col min="14081" max="14081" width="13.54296875" style="99" customWidth="1"/>
    <col min="14082" max="14087" width="11.7265625" style="99" customWidth="1"/>
    <col min="14088" max="14091" width="9.26953125" style="99" bestFit="1" customWidth="1"/>
    <col min="14092" max="14336" width="8.81640625" style="99"/>
    <col min="14337" max="14337" width="13.54296875" style="99" customWidth="1"/>
    <col min="14338" max="14343" width="11.7265625" style="99" customWidth="1"/>
    <col min="14344" max="14347" width="9.26953125" style="99" bestFit="1" customWidth="1"/>
    <col min="14348" max="14592" width="8.81640625" style="99"/>
    <col min="14593" max="14593" width="13.54296875" style="99" customWidth="1"/>
    <col min="14594" max="14599" width="11.7265625" style="99" customWidth="1"/>
    <col min="14600" max="14603" width="9.26953125" style="99" bestFit="1" customWidth="1"/>
    <col min="14604" max="14848" width="8.81640625" style="99"/>
    <col min="14849" max="14849" width="13.54296875" style="99" customWidth="1"/>
    <col min="14850" max="14855" width="11.7265625" style="99" customWidth="1"/>
    <col min="14856" max="14859" width="9.26953125" style="99" bestFit="1" customWidth="1"/>
    <col min="14860" max="15104" width="8.81640625" style="99"/>
    <col min="15105" max="15105" width="13.54296875" style="99" customWidth="1"/>
    <col min="15106" max="15111" width="11.7265625" style="99" customWidth="1"/>
    <col min="15112" max="15115" width="9.26953125" style="99" bestFit="1" customWidth="1"/>
    <col min="15116" max="15360" width="8.81640625" style="99"/>
    <col min="15361" max="15361" width="13.54296875" style="99" customWidth="1"/>
    <col min="15362" max="15367" width="11.7265625" style="99" customWidth="1"/>
    <col min="15368" max="15371" width="9.26953125" style="99" bestFit="1" customWidth="1"/>
    <col min="15372" max="15616" width="8.81640625" style="99"/>
    <col min="15617" max="15617" width="13.54296875" style="99" customWidth="1"/>
    <col min="15618" max="15623" width="11.7265625" style="99" customWidth="1"/>
    <col min="15624" max="15627" width="9.26953125" style="99" bestFit="1" customWidth="1"/>
    <col min="15628" max="15872" width="8.81640625" style="99"/>
    <col min="15873" max="15873" width="13.54296875" style="99" customWidth="1"/>
    <col min="15874" max="15879" width="11.7265625" style="99" customWidth="1"/>
    <col min="15880" max="15883" width="9.26953125" style="99" bestFit="1" customWidth="1"/>
    <col min="15884" max="16128" width="8.81640625" style="99"/>
    <col min="16129" max="16129" width="13.54296875" style="99" customWidth="1"/>
    <col min="16130" max="16135" width="11.7265625" style="99" customWidth="1"/>
    <col min="16136" max="16139" width="9.26953125" style="99" bestFit="1" customWidth="1"/>
    <col min="16140" max="16384" width="8.81640625" style="99"/>
  </cols>
  <sheetData>
    <row r="1" spans="1:11" ht="18.5" x14ac:dyDescent="0.45">
      <c r="A1" s="112" t="s">
        <v>284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</row>
    <row r="2" spans="1:11" ht="15.5" x14ac:dyDescent="0.35">
      <c r="A2" s="113" t="s">
        <v>283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</row>
    <row r="3" spans="1:11" ht="13.5" thickBot="1" x14ac:dyDescent="0.35"/>
    <row r="4" spans="1:11" ht="14.5" x14ac:dyDescent="0.35">
      <c r="A4" s="177" t="s">
        <v>21</v>
      </c>
      <c r="B4" s="164"/>
      <c r="C4" s="164"/>
      <c r="D4" s="164"/>
      <c r="E4" s="164"/>
      <c r="F4" s="164"/>
      <c r="G4" s="163"/>
    </row>
    <row r="5" spans="1:11" x14ac:dyDescent="0.3">
      <c r="A5" s="174" t="s">
        <v>276</v>
      </c>
      <c r="B5" s="169">
        <v>0.11</v>
      </c>
      <c r="G5" s="159"/>
    </row>
    <row r="6" spans="1:11" x14ac:dyDescent="0.3">
      <c r="A6" s="174" t="s">
        <v>44</v>
      </c>
      <c r="B6" s="169">
        <v>0.15</v>
      </c>
      <c r="G6" s="159"/>
    </row>
    <row r="7" spans="1:11" x14ac:dyDescent="0.3">
      <c r="A7" s="174"/>
      <c r="G7" s="159"/>
    </row>
    <row r="8" spans="1:11" x14ac:dyDescent="0.3">
      <c r="A8" s="174"/>
      <c r="B8" s="119" t="s">
        <v>282</v>
      </c>
      <c r="C8" s="119" t="s">
        <v>27</v>
      </c>
      <c r="D8" s="119" t="s">
        <v>28</v>
      </c>
      <c r="E8" s="119" t="s">
        <v>29</v>
      </c>
      <c r="F8" s="119" t="s">
        <v>30</v>
      </c>
      <c r="G8" s="176" t="s">
        <v>31</v>
      </c>
    </row>
    <row r="9" spans="1:11" x14ac:dyDescent="0.3">
      <c r="A9" s="174" t="s">
        <v>40</v>
      </c>
      <c r="B9" s="105">
        <v>-900000</v>
      </c>
      <c r="C9" s="105">
        <v>265000</v>
      </c>
      <c r="D9" s="105">
        <f>C9*(1+$B$5)</f>
        <v>294150</v>
      </c>
      <c r="E9" s="105">
        <f>D9*(1+$B$5)</f>
        <v>326506.5</v>
      </c>
      <c r="F9" s="105">
        <f>E9*(1+$B$5)</f>
        <v>362422.21500000003</v>
      </c>
      <c r="G9" s="175">
        <f>F9*(1+$B$5)</f>
        <v>402288.65865000006</v>
      </c>
    </row>
    <row r="10" spans="1:11" x14ac:dyDescent="0.3">
      <c r="A10" s="174"/>
      <c r="G10" s="159"/>
    </row>
    <row r="11" spans="1:11" x14ac:dyDescent="0.3">
      <c r="A11" s="174" t="s">
        <v>275</v>
      </c>
      <c r="B11" s="105">
        <f>NPV(B6,C9:G9)+B9</f>
        <v>174762.40574500198</v>
      </c>
      <c r="G11" s="159"/>
    </row>
    <row r="12" spans="1:11" ht="13.5" thickBot="1" x14ac:dyDescent="0.35">
      <c r="A12" s="158" t="s">
        <v>274</v>
      </c>
      <c r="B12" s="173">
        <f>IRR(B9:G9)</f>
        <v>0.22341494403481499</v>
      </c>
      <c r="C12" s="157"/>
      <c r="D12" s="157"/>
      <c r="E12" s="157"/>
      <c r="F12" s="157"/>
      <c r="G12" s="156"/>
    </row>
    <row r="14" spans="1:11" ht="14.5" x14ac:dyDescent="0.35">
      <c r="A14" s="115" t="s">
        <v>281</v>
      </c>
    </row>
    <row r="16" spans="1:11" x14ac:dyDescent="0.3">
      <c r="B16" s="172" t="s">
        <v>280</v>
      </c>
      <c r="C16" s="172"/>
      <c r="D16" s="172"/>
      <c r="G16" s="172" t="s">
        <v>279</v>
      </c>
      <c r="H16" s="172"/>
      <c r="I16" s="172"/>
      <c r="J16" s="172"/>
      <c r="K16" s="172"/>
    </row>
    <row r="17" spans="2:11" x14ac:dyDescent="0.3">
      <c r="B17" s="172" t="s">
        <v>278</v>
      </c>
      <c r="C17" s="172"/>
      <c r="D17" s="172"/>
      <c r="G17" s="172" t="s">
        <v>277</v>
      </c>
      <c r="H17" s="172"/>
      <c r="I17" s="172"/>
      <c r="J17" s="172"/>
      <c r="K17" s="172"/>
    </row>
    <row r="18" spans="2:11" ht="19.5" customHeight="1" x14ac:dyDescent="0.3">
      <c r="B18" s="119" t="s">
        <v>276</v>
      </c>
      <c r="C18" s="119" t="s">
        <v>275</v>
      </c>
      <c r="D18" s="119" t="s">
        <v>274</v>
      </c>
      <c r="H18" s="171" t="s">
        <v>273</v>
      </c>
      <c r="I18" s="170"/>
      <c r="J18" s="170"/>
      <c r="K18" s="170"/>
    </row>
    <row r="19" spans="2:11" outlineLevel="1" x14ac:dyDescent="0.3">
      <c r="C19" s="105">
        <f>B11</f>
        <v>174762.40574500198</v>
      </c>
      <c r="D19" s="167">
        <f>B12</f>
        <v>0.22341494403481499</v>
      </c>
      <c r="G19" s="105">
        <f>B11</f>
        <v>174762.40574500198</v>
      </c>
      <c r="H19" s="169">
        <v>0.05</v>
      </c>
      <c r="I19" s="169">
        <v>0.1</v>
      </c>
      <c r="J19" s="169">
        <v>0.15</v>
      </c>
      <c r="K19" s="169">
        <v>0.2</v>
      </c>
    </row>
    <row r="20" spans="2:11" x14ac:dyDescent="0.3">
      <c r="B20" s="166">
        <v>0</v>
      </c>
      <c r="C20" s="105">
        <f t="dataTable" ref="C20:D35" dt2D="0" dtr="0" r1="B5" ca="1"/>
        <v>-11678.899026978412</v>
      </c>
      <c r="D20" s="167">
        <v>0.14450600528549651</v>
      </c>
      <c r="F20" s="168" t="s">
        <v>272</v>
      </c>
      <c r="G20" s="166">
        <v>0</v>
      </c>
      <c r="H20" s="105">
        <f t="dataTable" ref="H20:K35" dt2D="1" dtr="1" r1="B6" r2="B5"/>
        <v>247311.31771716708</v>
      </c>
      <c r="I20" s="105">
        <v>104558.49389323848</v>
      </c>
      <c r="J20" s="105">
        <v>-11678.899026978412</v>
      </c>
      <c r="K20" s="105">
        <v>-107487.78292181063</v>
      </c>
    </row>
    <row r="21" spans="2:11" x14ac:dyDescent="0.3">
      <c r="B21" s="166">
        <v>0.01</v>
      </c>
      <c r="C21" s="105">
        <v>3767.8389234384522</v>
      </c>
      <c r="D21" s="167">
        <v>0.15175428354318909</v>
      </c>
      <c r="F21" s="168" t="s">
        <v>271</v>
      </c>
      <c r="G21" s="166">
        <v>0.01</v>
      </c>
      <c r="H21" s="105">
        <v>269353.07498027105</v>
      </c>
      <c r="I21" s="105">
        <v>122916.0447001257</v>
      </c>
      <c r="J21" s="105">
        <v>3767.8389234384522</v>
      </c>
      <c r="K21" s="105">
        <v>-94368.433059252682</v>
      </c>
    </row>
    <row r="22" spans="2:11" x14ac:dyDescent="0.3">
      <c r="B22" s="166">
        <v>0.02</v>
      </c>
      <c r="C22" s="105">
        <v>19502.52577900223</v>
      </c>
      <c r="D22" s="167">
        <v>0.15898713477151061</v>
      </c>
      <c r="G22" s="166">
        <v>0.02</v>
      </c>
      <c r="H22" s="105">
        <v>291826.90704270033</v>
      </c>
      <c r="I22" s="105">
        <v>141624.5253987863</v>
      </c>
      <c r="J22" s="105">
        <v>19502.52577900223</v>
      </c>
      <c r="K22" s="105">
        <v>-81010.598958333256</v>
      </c>
    </row>
    <row r="23" spans="2:11" x14ac:dyDescent="0.3">
      <c r="B23" s="166">
        <v>0.03</v>
      </c>
      <c r="C23" s="105">
        <v>35529.280102070654</v>
      </c>
      <c r="D23" s="167">
        <v>0.16620472457576452</v>
      </c>
      <c r="G23" s="166">
        <v>0.03</v>
      </c>
      <c r="H23" s="105">
        <v>314739.17997620511</v>
      </c>
      <c r="I23" s="105">
        <v>160689.03027612343</v>
      </c>
      <c r="J23" s="105">
        <v>35529.280102070654</v>
      </c>
      <c r="K23" s="105">
        <v>-67410.919556166395</v>
      </c>
    </row>
    <row r="24" spans="2:11" x14ac:dyDescent="0.3">
      <c r="B24" s="166">
        <v>0.04</v>
      </c>
      <c r="C24" s="105">
        <v>51852.252075441182</v>
      </c>
      <c r="D24" s="167">
        <v>0.17340721555074623</v>
      </c>
      <c r="G24" s="166">
        <v>0.04</v>
      </c>
      <c r="H24" s="105">
        <v>338096.30968479975</v>
      </c>
      <c r="I24" s="105">
        <v>180114.69310963573</v>
      </c>
      <c r="J24" s="105">
        <v>51852.252075441182</v>
      </c>
      <c r="K24" s="105">
        <v>-53566.008230452542</v>
      </c>
    </row>
    <row r="25" spans="2:11" x14ac:dyDescent="0.3">
      <c r="B25" s="166">
        <v>0.05</v>
      </c>
      <c r="C25" s="105">
        <v>68475.623502352624</v>
      </c>
      <c r="D25" s="167">
        <v>0.18059476735455005</v>
      </c>
      <c r="G25" s="166">
        <v>0.05</v>
      </c>
      <c r="H25" s="105">
        <v>361904.76190476189</v>
      </c>
      <c r="I25" s="105">
        <v>199906.68716741866</v>
      </c>
      <c r="J25" s="105">
        <v>68475.623502352624</v>
      </c>
      <c r="K25" s="105">
        <v>-39472.452799479128</v>
      </c>
    </row>
    <row r="26" spans="2:11" x14ac:dyDescent="0.3">
      <c r="B26" s="166">
        <v>0.06</v>
      </c>
      <c r="C26" s="105">
        <v>85403.607806482818</v>
      </c>
      <c r="D26" s="167">
        <v>0.18776753678025915</v>
      </c>
      <c r="G26" s="166">
        <v>0.06</v>
      </c>
      <c r="H26" s="105">
        <v>386171.05220463406</v>
      </c>
      <c r="I26" s="105">
        <v>220070.22520816373</v>
      </c>
      <c r="J26" s="105">
        <v>85403.607806482818</v>
      </c>
      <c r="K26" s="105">
        <v>-25126.815522119286</v>
      </c>
    </row>
    <row r="27" spans="2:11" x14ac:dyDescent="0.3">
      <c r="B27" s="166">
        <v>7.0000000000000007E-2</v>
      </c>
      <c r="C27" s="105">
        <v>102640.45003195177</v>
      </c>
      <c r="D27" s="167">
        <v>0.19492567782536563</v>
      </c>
      <c r="G27" s="166">
        <v>7.0000000000000007E-2</v>
      </c>
      <c r="H27" s="105">
        <v>410901.74598522391</v>
      </c>
      <c r="I27" s="105">
        <v>240610.55948115792</v>
      </c>
      <c r="J27" s="105">
        <v>102640.45003195177</v>
      </c>
      <c r="K27" s="105">
        <v>-10525.633097833022</v>
      </c>
    </row>
    <row r="28" spans="2:11" x14ac:dyDescent="0.3">
      <c r="B28" s="166">
        <v>0.08</v>
      </c>
      <c r="C28" s="105">
        <v>120190.42684331804</v>
      </c>
      <c r="D28" s="167">
        <v>0.20206934175944458</v>
      </c>
      <c r="G28" s="166">
        <v>0.08</v>
      </c>
      <c r="H28" s="105">
        <v>436103.45847960189</v>
      </c>
      <c r="I28" s="105">
        <v>261532.9817262853</v>
      </c>
      <c r="J28" s="105">
        <v>120190.42684331804</v>
      </c>
      <c r="K28" s="105">
        <v>4334.5833333333721</v>
      </c>
    </row>
    <row r="29" spans="2:11" x14ac:dyDescent="0.3">
      <c r="B29" s="166">
        <v>0.09</v>
      </c>
      <c r="C29" s="105">
        <v>138057.84652558167</v>
      </c>
      <c r="D29" s="167">
        <v>0.20919867718962948</v>
      </c>
      <c r="G29" s="166">
        <v>0.09</v>
      </c>
      <c r="H29" s="105">
        <v>461782.85475310218</v>
      </c>
      <c r="I29" s="105">
        <v>282842.8231740254</v>
      </c>
      <c r="J29" s="105">
        <v>138057.84652558167</v>
      </c>
      <c r="K29" s="105">
        <v>19457.348190747318</v>
      </c>
    </row>
    <row r="30" spans="2:11" x14ac:dyDescent="0.3">
      <c r="B30" s="166">
        <v>0.1</v>
      </c>
      <c r="C30" s="105">
        <v>156247.04898418277</v>
      </c>
      <c r="D30" s="167">
        <v>0.21631383012428329</v>
      </c>
      <c r="G30" s="166">
        <v>0.1</v>
      </c>
      <c r="H30" s="105">
        <v>487946.64970332501</v>
      </c>
      <c r="I30" s="105">
        <v>304545.45454545435</v>
      </c>
      <c r="J30" s="105">
        <v>156247.04898418277</v>
      </c>
      <c r="K30" s="105">
        <v>34846.201453189366</v>
      </c>
    </row>
    <row r="31" spans="2:11" x14ac:dyDescent="0.3">
      <c r="B31" s="166">
        <v>0.11</v>
      </c>
      <c r="C31" s="105">
        <v>174762.40574500198</v>
      </c>
      <c r="D31" s="167">
        <v>0.22341494403481499</v>
      </c>
      <c r="G31" s="166">
        <v>0.11</v>
      </c>
      <c r="H31" s="105">
        <v>514601.60806013364</v>
      </c>
      <c r="I31" s="105">
        <v>326646.28605224402</v>
      </c>
      <c r="J31" s="105">
        <v>174762.40574500198</v>
      </c>
      <c r="K31" s="105">
        <v>50504.708658854244</v>
      </c>
    </row>
    <row r="32" spans="2:11" x14ac:dyDescent="0.3">
      <c r="B32" s="166">
        <v>0.12</v>
      </c>
      <c r="C32" s="105">
        <v>193608.31995435967</v>
      </c>
      <c r="D32" s="167">
        <v>0.23050215991570799</v>
      </c>
      <c r="G32" s="166">
        <v>0.12</v>
      </c>
      <c r="H32" s="105">
        <v>541754.54438565555</v>
      </c>
      <c r="I32" s="105">
        <v>349150.76739666285</v>
      </c>
      <c r="J32" s="105">
        <v>193608.31995435967</v>
      </c>
      <c r="K32" s="105">
        <v>66436.460905350046</v>
      </c>
    </row>
    <row r="33" spans="2:11" x14ac:dyDescent="0.3">
      <c r="B33" s="166">
        <v>0.13</v>
      </c>
      <c r="C33" s="105">
        <v>212789.22637901711</v>
      </c>
      <c r="D33" s="167">
        <v>0.23757561634282576</v>
      </c>
      <c r="G33" s="166">
        <v>0.13</v>
      </c>
      <c r="H33" s="105">
        <v>569412.32307428191</v>
      </c>
      <c r="I33" s="105">
        <v>372064.38777157478</v>
      </c>
      <c r="J33" s="105">
        <v>212789.22637901711</v>
      </c>
      <c r="K33" s="105">
        <v>82645.074849697878</v>
      </c>
    </row>
    <row r="34" spans="2:11" x14ac:dyDescent="0.3">
      <c r="B34" s="166">
        <v>0.14000000000000001</v>
      </c>
      <c r="C34" s="105">
        <v>232309.59140617657</v>
      </c>
      <c r="D34" s="167">
        <v>0.24463544953004468</v>
      </c>
      <c r="G34" s="166">
        <v>0.14000000000000001</v>
      </c>
      <c r="H34" s="105">
        <v>597581.85835267068</v>
      </c>
      <c r="I34" s="105">
        <v>395392.67586044199</v>
      </c>
      <c r="J34" s="105">
        <v>232309.59140617657</v>
      </c>
      <c r="K34" s="105">
        <v>99134.192708333721</v>
      </c>
    </row>
    <row r="35" spans="2:11" x14ac:dyDescent="0.3">
      <c r="B35" s="166">
        <v>0.15</v>
      </c>
      <c r="C35" s="105">
        <v>252173.91304347827</v>
      </c>
      <c r="D35" s="167">
        <v>0.25168179338426988</v>
      </c>
      <c r="G35" s="166">
        <v>0.15</v>
      </c>
      <c r="H35" s="105">
        <v>626270.11427973956</v>
      </c>
      <c r="I35" s="105">
        <v>419141.19983731792</v>
      </c>
      <c r="J35" s="105">
        <v>252173.91304347827</v>
      </c>
      <c r="K35" s="105">
        <v>115907.48225710518</v>
      </c>
    </row>
    <row r="36" spans="2:11" ht="13.5" thickBot="1" x14ac:dyDescent="0.35"/>
    <row r="37" spans="2:11" ht="7.5" customHeight="1" x14ac:dyDescent="0.3">
      <c r="G37" s="165"/>
      <c r="H37" s="164"/>
      <c r="I37" s="164"/>
      <c r="J37" s="163"/>
    </row>
    <row r="38" spans="2:11" x14ac:dyDescent="0.3">
      <c r="G38" s="162" t="s">
        <v>270</v>
      </c>
      <c r="J38" s="159"/>
    </row>
    <row r="39" spans="2:11" x14ac:dyDescent="0.3">
      <c r="G39" s="160" t="s">
        <v>269</v>
      </c>
      <c r="I39" s="161"/>
      <c r="J39" s="159"/>
    </row>
    <row r="40" spans="2:11" x14ac:dyDescent="0.3">
      <c r="G40" s="160" t="s">
        <v>268</v>
      </c>
      <c r="I40" s="121"/>
      <c r="J40" s="159"/>
    </row>
    <row r="41" spans="2:11" ht="13.5" thickBot="1" x14ac:dyDescent="0.35">
      <c r="G41" s="158"/>
      <c r="H41" s="157"/>
      <c r="I41" s="157"/>
      <c r="J41" s="156"/>
    </row>
  </sheetData>
  <conditionalFormatting sqref="H20:K35">
    <cfRule type="cellIs" dxfId="1" priority="2" operator="lessThanOrEqual">
      <formula>0</formula>
    </cfRule>
    <cfRule type="cellIs" dxfId="0" priority="1" operator="greaterThanOrEqual">
      <formula>200000</formula>
    </cfRule>
  </conditionalFormatting>
  <pageMargins left="0.25" right="0.25" top="0.5" bottom="0.5" header="0.5" footer="0.25"/>
  <pageSetup orientation="landscape" r:id="rId1"/>
  <headerFooter alignWithMargins="0">
    <oddFooter>&amp;LPrinted:  &amp;D  &amp;T&amp;CPage &amp;P of &amp;N&amp;R&amp;"Arial,Bold"&amp;9&amp;A
&amp;F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6BE2A-FE6B-4FA7-A92E-4CD2489BC6CD}">
  <sheetPr codeName="Sheet14"/>
  <dimension ref="A3:B25"/>
  <sheetViews>
    <sheetView zoomScale="205" zoomScaleNormal="205" workbookViewId="0">
      <selection activeCell="B8" sqref="B8"/>
    </sheetView>
  </sheetViews>
  <sheetFormatPr defaultRowHeight="14.5" x14ac:dyDescent="0.35"/>
  <cols>
    <col min="1" max="1" width="22.26953125" bestFit="1" customWidth="1"/>
    <col min="2" max="2" width="14.26953125" bestFit="1" customWidth="1"/>
    <col min="3" max="3" width="12.54296875" bestFit="1" customWidth="1"/>
  </cols>
  <sheetData>
    <row r="3" spans="1:2" x14ac:dyDescent="0.35">
      <c r="A3" s="206" t="s">
        <v>306</v>
      </c>
      <c r="B3" t="s">
        <v>312</v>
      </c>
    </row>
    <row r="4" spans="1:2" x14ac:dyDescent="0.35">
      <c r="A4" s="207" t="s">
        <v>307</v>
      </c>
      <c r="B4" s="209">
        <v>461700000</v>
      </c>
    </row>
    <row r="5" spans="1:2" x14ac:dyDescent="0.35">
      <c r="A5" s="40" t="s">
        <v>110</v>
      </c>
      <c r="B5" s="209">
        <v>461700000</v>
      </c>
    </row>
    <row r="6" spans="1:2" x14ac:dyDescent="0.35">
      <c r="A6" s="207" t="s">
        <v>264</v>
      </c>
      <c r="B6" s="209">
        <v>673871063.63636363</v>
      </c>
    </row>
    <row r="7" spans="1:2" x14ac:dyDescent="0.35">
      <c r="A7" s="40" t="s">
        <v>142</v>
      </c>
      <c r="B7" s="209">
        <v>17625000</v>
      </c>
    </row>
    <row r="8" spans="1:2" x14ac:dyDescent="0.35">
      <c r="A8" s="40" t="s">
        <v>96</v>
      </c>
      <c r="B8" s="209">
        <v>383535000</v>
      </c>
    </row>
    <row r="9" spans="1:2" x14ac:dyDescent="0.35">
      <c r="A9" s="40" t="s">
        <v>130</v>
      </c>
      <c r="B9" s="209">
        <v>22500000</v>
      </c>
    </row>
    <row r="10" spans="1:2" x14ac:dyDescent="0.35">
      <c r="A10" s="40" t="s">
        <v>116</v>
      </c>
      <c r="B10" s="209">
        <v>95126363.63636364</v>
      </c>
    </row>
    <row r="11" spans="1:2" x14ac:dyDescent="0.35">
      <c r="A11" s="40" t="s">
        <v>153</v>
      </c>
      <c r="B11" s="209">
        <v>24210000</v>
      </c>
    </row>
    <row r="12" spans="1:2" x14ac:dyDescent="0.35">
      <c r="A12" s="40" t="s">
        <v>160</v>
      </c>
      <c r="B12" s="209">
        <v>20310000</v>
      </c>
    </row>
    <row r="13" spans="1:2" x14ac:dyDescent="0.35">
      <c r="A13" s="40" t="s">
        <v>210</v>
      </c>
      <c r="B13" s="209">
        <v>17250000</v>
      </c>
    </row>
    <row r="14" spans="1:2" x14ac:dyDescent="0.35">
      <c r="A14" s="40" t="s">
        <v>100</v>
      </c>
      <c r="B14" s="209">
        <v>50250000</v>
      </c>
    </row>
    <row r="15" spans="1:2" x14ac:dyDescent="0.35">
      <c r="A15" s="40" t="s">
        <v>104</v>
      </c>
      <c r="B15" s="209">
        <v>27000000</v>
      </c>
    </row>
    <row r="16" spans="1:2" x14ac:dyDescent="0.35">
      <c r="A16" s="40" t="s">
        <v>145</v>
      </c>
      <c r="B16" s="209">
        <v>16064700</v>
      </c>
    </row>
    <row r="17" spans="1:2" x14ac:dyDescent="0.35">
      <c r="A17" s="207" t="s">
        <v>308</v>
      </c>
      <c r="B17" s="209">
        <v>2610714.285714285</v>
      </c>
    </row>
    <row r="18" spans="1:2" x14ac:dyDescent="0.35">
      <c r="A18" s="40" t="s">
        <v>176</v>
      </c>
      <c r="B18" s="209">
        <v>2610714.285714285</v>
      </c>
    </row>
    <row r="19" spans="1:2" x14ac:dyDescent="0.35">
      <c r="A19" s="207" t="s">
        <v>309</v>
      </c>
      <c r="B19" s="209">
        <v>39300000</v>
      </c>
    </row>
    <row r="20" spans="1:2" x14ac:dyDescent="0.35">
      <c r="A20" s="40" t="s">
        <v>107</v>
      </c>
      <c r="B20" s="209">
        <v>24000000</v>
      </c>
    </row>
    <row r="21" spans="1:2" x14ac:dyDescent="0.35">
      <c r="A21" s="40" t="s">
        <v>132</v>
      </c>
      <c r="B21" s="209">
        <v>15300000</v>
      </c>
    </row>
    <row r="22" spans="1:2" x14ac:dyDescent="0.35">
      <c r="A22" s="207" t="s">
        <v>310</v>
      </c>
      <c r="B22" s="209">
        <v>54671988.095238134</v>
      </c>
    </row>
    <row r="23" spans="1:2" x14ac:dyDescent="0.35">
      <c r="A23" s="40" t="s">
        <v>168</v>
      </c>
      <c r="B23" s="209">
        <v>28421988.095238134</v>
      </c>
    </row>
    <row r="24" spans="1:2" x14ac:dyDescent="0.35">
      <c r="A24" s="40" t="s">
        <v>122</v>
      </c>
      <c r="B24" s="209">
        <v>26250000</v>
      </c>
    </row>
    <row r="25" spans="1:2" x14ac:dyDescent="0.35">
      <c r="A25" s="207" t="s">
        <v>65</v>
      </c>
      <c r="B25" s="209">
        <v>1232153766.0173161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2D642A41505D46A2A06360A40151BA" ma:contentTypeVersion="15" ma:contentTypeDescription="Create a new document." ma:contentTypeScope="" ma:versionID="f5b74162eae253120fee2bfaf858591d">
  <xsd:schema xmlns:xsd="http://www.w3.org/2001/XMLSchema" xmlns:xs="http://www.w3.org/2001/XMLSchema" xmlns:p="http://schemas.microsoft.com/office/2006/metadata/properties" xmlns:ns3="a4952287-9732-45dd-908d-3e66ac81dfe8" xmlns:ns4="2f5a71eb-5cc8-4154-9b92-8c908486fb5c" targetNamespace="http://schemas.microsoft.com/office/2006/metadata/properties" ma:root="true" ma:fieldsID="d0f29156c4074f58ac8210e6ae26a31e" ns3:_="" ns4:_="">
    <xsd:import namespace="a4952287-9732-45dd-908d-3e66ac81dfe8"/>
    <xsd:import namespace="2f5a71eb-5cc8-4154-9b92-8c908486fb5c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_activity" minOccurs="0"/>
                <xsd:element ref="ns4:MediaLengthInSeconds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952287-9732-45dd-908d-3e66ac81dfe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5a71eb-5cc8-4154-9b92-8c908486fb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f5a71eb-5cc8-4154-9b92-8c908486fb5c" xsi:nil="true"/>
  </documentManagement>
</p:properties>
</file>

<file path=customXml/itemProps1.xml><?xml version="1.0" encoding="utf-8"?>
<ds:datastoreItem xmlns:ds="http://schemas.openxmlformats.org/officeDocument/2006/customXml" ds:itemID="{EA23A356-7F44-48AF-AE3B-90880739E8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952287-9732-45dd-908d-3e66ac81dfe8"/>
    <ds:schemaRef ds:uri="2f5a71eb-5cc8-4154-9b92-8c908486fb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A957E5C-312E-4CC5-89AA-3CD896345B1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ADE355E-49DB-4B2E-A6C4-A1AAC54C2F95}">
  <ds:schemaRefs>
    <ds:schemaRef ds:uri="http://schemas.microsoft.com/office/2006/documentManagement/types"/>
    <ds:schemaRef ds:uri="2f5a71eb-5cc8-4154-9b92-8c908486fb5c"/>
    <ds:schemaRef ds:uri="http://purl.org/dc/dcmitype/"/>
    <ds:schemaRef ds:uri="http://purl.org/dc/terms/"/>
    <ds:schemaRef ds:uri="http://purl.org/dc/elements/1.1/"/>
    <ds:schemaRef ds:uri="http://schemas.openxmlformats.org/package/2006/metadata/core-properties"/>
    <ds:schemaRef ds:uri="a4952287-9732-45dd-908d-3e66ac81dfe8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2</vt:i4>
      </vt:variant>
    </vt:vector>
  </HeadingPairs>
  <TitlesOfParts>
    <vt:vector size="16" baseType="lpstr">
      <vt:lpstr>Welcome</vt:lpstr>
      <vt:lpstr>Summary</vt:lpstr>
      <vt:lpstr>Purch Analysis</vt:lpstr>
      <vt:lpstr>Loan &amp; Amort</vt:lpstr>
      <vt:lpstr>Pax Income Proj</vt:lpstr>
      <vt:lpstr>Cash Flow</vt:lpstr>
      <vt:lpstr>Fleet Inventory</vt:lpstr>
      <vt:lpstr>Sensitivity Analysis</vt:lpstr>
      <vt:lpstr>Pvt Tbl</vt:lpstr>
      <vt:lpstr>Pvt Chrt</vt:lpstr>
      <vt:lpstr>Project List</vt:lpstr>
      <vt:lpstr>Tables</vt:lpstr>
      <vt:lpstr>Solver mfg</vt:lpstr>
      <vt:lpstr>Solver rehab</vt:lpstr>
      <vt:lpstr>CoName</vt:lpstr>
      <vt:lpstr>LoanPmt</vt:lpstr>
    </vt:vector>
  </TitlesOfParts>
  <Company>JHU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lab6xp</dc:creator>
  <cp:lastModifiedBy>Dylan Rasnick</cp:lastModifiedBy>
  <cp:lastPrinted>2018-02-03T03:33:39Z</cp:lastPrinted>
  <dcterms:created xsi:type="dcterms:W3CDTF">2010-07-10T13:23:23Z</dcterms:created>
  <dcterms:modified xsi:type="dcterms:W3CDTF">2024-08-28T16:11:30Z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0x010100C02D642A41505D46A2A06360A40151BA</vt:lpwstr>
  </property>
</Properties>
</file>